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mates\Downloads\"/>
    </mc:Choice>
  </mc:AlternateContent>
  <xr:revisionPtr revIDLastSave="0" documentId="13_ncr:1_{E098789B-1B7B-473B-B875-599FB7DC7649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All" sheetId="1" state="hidden" r:id="rId1"/>
    <sheet name="ČB24" sheetId="4" r:id="rId2"/>
    <sheet name="Allv2" sheetId="3" r:id="rId3"/>
    <sheet name="Startovka" sheetId="5" r:id="rId4"/>
  </sheets>
  <definedNames>
    <definedName name="All">Allv2!$A$1:$G$53</definedName>
    <definedName name="_xlnm.Print_Area" localSheetId="0">All!$A$1:$R$180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0" i="4" l="1"/>
  <c r="M102" i="4"/>
  <c r="M53" i="4"/>
  <c r="O36" i="4"/>
  <c r="P36" i="4" s="1"/>
  <c r="O65" i="4"/>
  <c r="P65" i="4" s="1"/>
  <c r="O58" i="4"/>
  <c r="P58" i="4" s="1"/>
  <c r="O59" i="4"/>
  <c r="P59" i="4" s="1"/>
  <c r="O57" i="4"/>
  <c r="P57" i="4" s="1"/>
  <c r="O25" i="4"/>
  <c r="P25" i="4" s="1"/>
  <c r="O53" i="4"/>
  <c r="P53" i="4" s="1"/>
  <c r="P102" i="4"/>
  <c r="O101" i="4"/>
  <c r="P101" i="4" s="1"/>
  <c r="M101" i="4"/>
  <c r="O69" i="4"/>
  <c r="P69" i="4" s="1"/>
  <c r="O70" i="4"/>
  <c r="P70" i="4" s="1"/>
  <c r="O71" i="4"/>
  <c r="P71" i="4" s="1"/>
  <c r="O72" i="4"/>
  <c r="P72" i="4" s="1"/>
  <c r="M93" i="4"/>
  <c r="M95" i="4"/>
  <c r="M96" i="4"/>
  <c r="M94" i="4"/>
  <c r="M91" i="4"/>
  <c r="M92" i="4"/>
  <c r="M84" i="4"/>
  <c r="M86" i="4"/>
  <c r="M85" i="4"/>
  <c r="M87" i="4"/>
  <c r="M78" i="4"/>
  <c r="M77" i="4"/>
  <c r="M80" i="4"/>
  <c r="M79" i="4"/>
  <c r="M70" i="4"/>
  <c r="M71" i="4"/>
  <c r="M72" i="4"/>
  <c r="M69" i="4"/>
  <c r="M73" i="4"/>
  <c r="M65" i="4"/>
  <c r="M64" i="4"/>
  <c r="M58" i="4"/>
  <c r="M59" i="4"/>
  <c r="M57" i="4"/>
  <c r="M60" i="4"/>
  <c r="M52" i="4"/>
  <c r="M48" i="4"/>
  <c r="M41" i="4"/>
  <c r="M42" i="4"/>
  <c r="M40" i="4"/>
  <c r="M44" i="4"/>
  <c r="M43" i="4"/>
  <c r="M36" i="4"/>
  <c r="M30" i="4"/>
  <c r="M32" i="4"/>
  <c r="M31" i="4"/>
  <c r="M25" i="4"/>
  <c r="M26" i="4"/>
  <c r="M22" i="4"/>
  <c r="M24" i="4"/>
  <c r="M23" i="4"/>
  <c r="M16" i="4"/>
  <c r="M17" i="4"/>
  <c r="M15" i="4"/>
  <c r="M7" i="4"/>
  <c r="M11" i="4"/>
  <c r="M10" i="4"/>
  <c r="M9" i="4"/>
  <c r="M8" i="4"/>
  <c r="P100" i="4"/>
  <c r="O91" i="4"/>
  <c r="P91" i="4" s="1"/>
  <c r="O94" i="4"/>
  <c r="P94" i="4" s="1"/>
  <c r="O96" i="4"/>
  <c r="P96" i="4" s="1"/>
  <c r="O95" i="4"/>
  <c r="P95" i="4" s="1"/>
  <c r="O93" i="4"/>
  <c r="P93" i="4" s="1"/>
  <c r="O92" i="4"/>
  <c r="P92" i="4" s="1"/>
  <c r="O87" i="4"/>
  <c r="P87" i="4" s="1"/>
  <c r="O85" i="4"/>
  <c r="P85" i="4" s="1"/>
  <c r="O86" i="4"/>
  <c r="P86" i="4" s="1"/>
  <c r="O84" i="4"/>
  <c r="P84" i="4" s="1"/>
  <c r="O80" i="4"/>
  <c r="P80" i="4" s="1"/>
  <c r="P77" i="4"/>
  <c r="P78" i="4"/>
  <c r="O79" i="4"/>
  <c r="P79" i="4" s="1"/>
  <c r="O73" i="4"/>
  <c r="P73" i="4" s="1"/>
  <c r="O64" i="4"/>
  <c r="P64" i="4" s="1"/>
  <c r="O60" i="4"/>
  <c r="P60" i="4" s="1"/>
  <c r="O52" i="4"/>
  <c r="P52" i="4" s="1"/>
  <c r="O48" i="4"/>
  <c r="P48" i="4" s="1"/>
  <c r="O41" i="4"/>
  <c r="P41" i="4" s="1"/>
  <c r="O44" i="4"/>
  <c r="P44" i="4" s="1"/>
  <c r="O40" i="4"/>
  <c r="P40" i="4" s="1"/>
  <c r="O42" i="4"/>
  <c r="P42" i="4" s="1"/>
  <c r="O43" i="4"/>
  <c r="P43" i="4" s="1"/>
  <c r="O32" i="4"/>
  <c r="P32" i="4" s="1"/>
  <c r="O30" i="4"/>
  <c r="P30" i="4" s="1"/>
  <c r="O31" i="4"/>
  <c r="P31" i="4" s="1"/>
  <c r="O26" i="4"/>
  <c r="P26" i="4" s="1"/>
  <c r="O22" i="4"/>
  <c r="P22" i="4" s="1"/>
  <c r="O24" i="4"/>
  <c r="P24" i="4" s="1"/>
  <c r="O23" i="4"/>
  <c r="P23" i="4" s="1"/>
  <c r="O17" i="4"/>
  <c r="P17" i="4" s="1"/>
  <c r="O16" i="4"/>
  <c r="P16" i="4" s="1"/>
  <c r="O15" i="4"/>
  <c r="P15" i="4" s="1"/>
  <c r="O9" i="4"/>
  <c r="P9" i="4" s="1"/>
  <c r="O10" i="4"/>
  <c r="P10" i="4" s="1"/>
  <c r="O11" i="4"/>
  <c r="P11" i="4" s="1"/>
  <c r="O7" i="4"/>
  <c r="P7" i="4" s="1"/>
  <c r="O8" i="4"/>
  <c r="P8" i="4" s="1"/>
  <c r="O174" i="1"/>
  <c r="P174" i="1" s="1"/>
  <c r="O175" i="1"/>
  <c r="P175" i="1" s="1"/>
  <c r="O173" i="1"/>
  <c r="P173" i="1" s="1"/>
  <c r="O158" i="1"/>
  <c r="P158" i="1" s="1"/>
  <c r="O159" i="1"/>
  <c r="P159" i="1" s="1"/>
  <c r="R159" i="1" s="1"/>
  <c r="O160" i="1"/>
  <c r="P160" i="1" s="1"/>
  <c r="R160" i="1" s="1"/>
  <c r="O161" i="1"/>
  <c r="P161" i="1" s="1"/>
  <c r="O162" i="1"/>
  <c r="P162" i="1" s="1"/>
  <c r="R162" i="1" s="1"/>
  <c r="O157" i="1"/>
  <c r="P157" i="1" s="1"/>
  <c r="O151" i="1"/>
  <c r="P151" i="1" s="1"/>
  <c r="O149" i="1"/>
  <c r="P149" i="1" s="1"/>
  <c r="O150" i="1"/>
  <c r="P150" i="1" s="1"/>
  <c r="O148" i="1"/>
  <c r="P148" i="1" s="1"/>
  <c r="O139" i="1"/>
  <c r="P139" i="1" s="1"/>
  <c r="R139" i="1" s="1"/>
  <c r="O140" i="1"/>
  <c r="P140" i="1" s="1"/>
  <c r="O141" i="1"/>
  <c r="P141" i="1" s="1"/>
  <c r="R141" i="1" s="1"/>
  <c r="O138" i="1"/>
  <c r="P138" i="1" s="1"/>
  <c r="O129" i="1"/>
  <c r="P129" i="1" s="1"/>
  <c r="R129" i="1" s="1"/>
  <c r="O130" i="1"/>
  <c r="P130" i="1" s="1"/>
  <c r="R130" i="1" s="1"/>
  <c r="O131" i="1"/>
  <c r="P131" i="1" s="1"/>
  <c r="R131" i="1" s="1"/>
  <c r="O128" i="1"/>
  <c r="P128" i="1" s="1"/>
  <c r="R128" i="1" s="1"/>
  <c r="O120" i="1"/>
  <c r="O119" i="1"/>
  <c r="P119" i="1" s="1"/>
  <c r="O112" i="1"/>
  <c r="O113" i="1"/>
  <c r="O114" i="1"/>
  <c r="O111" i="1"/>
  <c r="P111" i="1" s="1"/>
  <c r="R111" i="1" s="1"/>
  <c r="P94" i="1"/>
  <c r="O93" i="1"/>
  <c r="P93" i="1" s="1"/>
  <c r="O85" i="1"/>
  <c r="P85" i="1" s="1"/>
  <c r="R85" i="1" s="1"/>
  <c r="O84" i="1"/>
  <c r="P84" i="1" s="1"/>
  <c r="R84" i="1" s="1"/>
  <c r="O75" i="1"/>
  <c r="P75" i="1" s="1"/>
  <c r="R75" i="1" s="1"/>
  <c r="O76" i="1"/>
  <c r="P76" i="1" s="1"/>
  <c r="R76" i="1" s="1"/>
  <c r="O77" i="1"/>
  <c r="P77" i="1" s="1"/>
  <c r="R77" i="1" s="1"/>
  <c r="O78" i="1"/>
  <c r="P78" i="1" s="1"/>
  <c r="O74" i="1"/>
  <c r="P74" i="1" s="1"/>
  <c r="P64" i="1"/>
  <c r="O54" i="1"/>
  <c r="P54" i="1" s="1"/>
  <c r="O55" i="1"/>
  <c r="P55" i="1" s="1"/>
  <c r="O53" i="1"/>
  <c r="P53" i="1" s="1"/>
  <c r="O43" i="1"/>
  <c r="P43" i="1" s="1"/>
  <c r="R43" i="1" s="1"/>
  <c r="O44" i="1"/>
  <c r="P44" i="1" s="1"/>
  <c r="R44" i="1" s="1"/>
  <c r="O45" i="1"/>
  <c r="P45" i="1" s="1"/>
  <c r="R45" i="1" s="1"/>
  <c r="O46" i="1"/>
  <c r="P46" i="1" s="1"/>
  <c r="O42" i="1"/>
  <c r="P42" i="1" s="1"/>
  <c r="R42" i="1" s="1"/>
  <c r="O24" i="1"/>
  <c r="P24" i="1" s="1"/>
  <c r="R24" i="1" s="1"/>
  <c r="O25" i="1"/>
  <c r="P25" i="1" s="1"/>
  <c r="O23" i="1"/>
  <c r="P23" i="1" s="1"/>
  <c r="R23" i="1" s="1"/>
  <c r="O8" i="1"/>
  <c r="P8" i="1" s="1"/>
  <c r="R8" i="1" s="1"/>
  <c r="O9" i="1"/>
  <c r="P9" i="1" s="1"/>
  <c r="R9" i="1" s="1"/>
  <c r="O10" i="1"/>
  <c r="P10" i="1" s="1"/>
  <c r="R10" i="1" s="1"/>
  <c r="O11" i="1"/>
  <c r="P11" i="1" s="1"/>
  <c r="R11" i="1" s="1"/>
  <c r="O7" i="1"/>
  <c r="P7" i="1" s="1"/>
  <c r="R7" i="1" s="1"/>
  <c r="P142" i="1"/>
  <c r="R142" i="1" s="1"/>
  <c r="P143" i="1"/>
  <c r="R143" i="1"/>
  <c r="P144" i="1"/>
  <c r="R144" i="1" s="1"/>
  <c r="P145" i="1"/>
  <c r="R145" i="1" s="1"/>
  <c r="P65" i="1"/>
  <c r="R65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26" i="1"/>
  <c r="P27" i="1"/>
  <c r="P28" i="1"/>
  <c r="P29" i="1"/>
  <c r="P30" i="1"/>
  <c r="R30" i="1" s="1"/>
  <c r="P31" i="1"/>
  <c r="R31" i="1" s="1"/>
  <c r="P32" i="1"/>
  <c r="R32" i="1" s="1"/>
  <c r="P33" i="1"/>
  <c r="R33" i="1" s="1"/>
  <c r="P34" i="1"/>
  <c r="R34" i="1" s="1"/>
  <c r="P56" i="1"/>
  <c r="R56" i="1" s="1"/>
  <c r="P177" i="1"/>
  <c r="P176" i="1"/>
  <c r="P163" i="1"/>
  <c r="P164" i="1"/>
  <c r="P165" i="1"/>
  <c r="P95" i="1"/>
  <c r="P98" i="1"/>
  <c r="R98" i="1" s="1"/>
  <c r="P97" i="1"/>
  <c r="P96" i="1"/>
  <c r="P66" i="1"/>
  <c r="P58" i="1"/>
  <c r="R58" i="1" s="1"/>
  <c r="P57" i="1"/>
  <c r="R165" i="1"/>
  <c r="R53" i="4" l="1"/>
  <c r="R100" i="4"/>
  <c r="R102" i="4"/>
  <c r="R58" i="4"/>
  <c r="R25" i="4"/>
  <c r="R59" i="4"/>
  <c r="R65" i="4"/>
  <c r="R57" i="4"/>
  <c r="R101" i="4"/>
  <c r="R72" i="4"/>
  <c r="R71" i="4"/>
  <c r="R70" i="4"/>
  <c r="R69" i="4"/>
  <c r="R84" i="4"/>
  <c r="R7" i="4"/>
  <c r="R41" i="4"/>
  <c r="R32" i="4"/>
  <c r="R44" i="4"/>
  <c r="R31" i="4"/>
  <c r="R64" i="4"/>
  <c r="R43" i="4"/>
  <c r="R15" i="4"/>
  <c r="R87" i="4"/>
  <c r="R95" i="4"/>
  <c r="R60" i="4"/>
  <c r="R24" i="4"/>
  <c r="R36" i="4"/>
  <c r="R94" i="4"/>
  <c r="R96" i="4"/>
  <c r="R93" i="4"/>
  <c r="R26" i="4"/>
  <c r="R73" i="4"/>
  <c r="R85" i="4"/>
  <c r="R91" i="4"/>
  <c r="R78" i="4"/>
  <c r="R80" i="4"/>
  <c r="R10" i="4"/>
  <c r="R48" i="4"/>
  <c r="R86" i="4"/>
  <c r="R52" i="4"/>
  <c r="R92" i="4"/>
  <c r="R77" i="4"/>
  <c r="R79" i="4"/>
  <c r="R40" i="4"/>
  <c r="R42" i="4"/>
  <c r="R30" i="4"/>
  <c r="R22" i="4"/>
  <c r="R23" i="4"/>
  <c r="R17" i="4"/>
  <c r="R16" i="4"/>
  <c r="R9" i="4"/>
  <c r="R11" i="4"/>
  <c r="R8" i="4"/>
  <c r="R27" i="1"/>
  <c r="R29" i="1"/>
  <c r="R25" i="1"/>
  <c r="R66" i="1"/>
  <c r="R164" i="1"/>
  <c r="R28" i="1"/>
  <c r="R46" i="1"/>
  <c r="R26" i="1"/>
  <c r="R57" i="1"/>
  <c r="R54" i="1"/>
  <c r="R53" i="1"/>
  <c r="R64" i="1"/>
  <c r="R55" i="1"/>
  <c r="R74" i="1"/>
  <c r="R176" i="1"/>
  <c r="R140" i="1"/>
  <c r="R138" i="1"/>
  <c r="R96" i="1"/>
  <c r="R158" i="1"/>
  <c r="R161" i="1"/>
  <c r="R119" i="1"/>
  <c r="R174" i="1"/>
  <c r="R173" i="1"/>
  <c r="R97" i="1"/>
  <c r="R163" i="1"/>
  <c r="R95" i="1"/>
  <c r="R94" i="1"/>
  <c r="R93" i="1"/>
  <c r="R78" i="1"/>
  <c r="R177" i="1"/>
  <c r="R175" i="1"/>
  <c r="R150" i="1"/>
  <c r="R148" i="1"/>
  <c r="R149" i="1"/>
  <c r="R151" i="1"/>
  <c r="R157" i="1"/>
</calcChain>
</file>

<file path=xl/sharedStrings.xml><?xml version="1.0" encoding="utf-8"?>
<sst xmlns="http://schemas.openxmlformats.org/spreadsheetml/2006/main" count="1234" uniqueCount="104">
  <si>
    <t xml:space="preserve">Poř. </t>
  </si>
  <si>
    <t>jméno, příjmení, rok narození</t>
  </si>
  <si>
    <t>organizace</t>
  </si>
  <si>
    <t>V</t>
  </si>
  <si>
    <t>O</t>
  </si>
  <si>
    <t>U</t>
  </si>
  <si>
    <t>M</t>
  </si>
  <si>
    <t>A</t>
  </si>
  <si>
    <t>TT</t>
  </si>
  <si>
    <t>D</t>
  </si>
  <si>
    <t>KPČ</t>
  </si>
  <si>
    <t>suma</t>
  </si>
  <si>
    <t>cíl</t>
  </si>
  <si>
    <t>start</t>
  </si>
  <si>
    <t>čas</t>
  </si>
  <si>
    <t>zdržení</t>
  </si>
  <si>
    <t xml:space="preserve">celkem </t>
  </si>
  <si>
    <t>.</t>
  </si>
  <si>
    <t>Junák Český Brod</t>
  </si>
  <si>
    <t>PL</t>
  </si>
  <si>
    <t xml:space="preserve">                        Pohár Středočeského kraje</t>
  </si>
  <si>
    <t>Linda Bínová 13</t>
  </si>
  <si>
    <t>Zuzana Vaněčková 14</t>
  </si>
  <si>
    <t>Veronika Slabá 13</t>
  </si>
  <si>
    <t>Petr Benda 14</t>
  </si>
  <si>
    <t>Michal Bína 13</t>
  </si>
  <si>
    <t>Daniel Barger 15</t>
  </si>
  <si>
    <t>Aneta Vaněčková 12</t>
  </si>
  <si>
    <t>Jaroslav Beran 11</t>
  </si>
  <si>
    <t>Eliška Sodomková 09</t>
  </si>
  <si>
    <t>Martin Bína 10</t>
  </si>
  <si>
    <t>Klára Buncová 03</t>
  </si>
  <si>
    <t>Romana Vejrostová 65</t>
  </si>
  <si>
    <t>Jan Vejrosta 91</t>
  </si>
  <si>
    <t>Jan Vavřík 90</t>
  </si>
  <si>
    <t>Zuzana Pavlátová 12</t>
  </si>
  <si>
    <t>Denisa Kratochvílová 07</t>
  </si>
  <si>
    <t>Jáchym Hruška 07</t>
  </si>
  <si>
    <t>Nikola Blechová 07</t>
  </si>
  <si>
    <t>Kateřina Čokrtová 94</t>
  </si>
  <si>
    <t>Vojtěch Oktábec 67</t>
  </si>
  <si>
    <t>Marek Váňa 78</t>
  </si>
  <si>
    <t>Zdeněk Vejrosta 61</t>
  </si>
  <si>
    <t>Štěpán Pavlišče 15</t>
  </si>
  <si>
    <t>Anna Pavliščová 12</t>
  </si>
  <si>
    <t>Eliška Škrabánková 13</t>
  </si>
  <si>
    <t>Martin Molitoris 09</t>
  </si>
  <si>
    <t>Ondřej Kuška 11</t>
  </si>
  <si>
    <t>Jiří Leština 12</t>
  </si>
  <si>
    <t xml:space="preserve">           5. 11. 2022 Český Brod </t>
  </si>
  <si>
    <t>Josefína Pavliščová 15</t>
  </si>
  <si>
    <t>David Pindus 10</t>
  </si>
  <si>
    <t>Nejmladší žákyně 14+</t>
  </si>
  <si>
    <t>Nejmladší žáci 14+</t>
  </si>
  <si>
    <t>Mladší žákyně 12-13</t>
  </si>
  <si>
    <t>Mladší žáci 12-13</t>
  </si>
  <si>
    <t>Starší žákyně 10-11</t>
  </si>
  <si>
    <t>Starší žáci 10-11</t>
  </si>
  <si>
    <t>Mladší dorostenky 08-09</t>
  </si>
  <si>
    <t>Mladší dorostenci 08-09</t>
  </si>
  <si>
    <t>Starší dorostenky 06-07</t>
  </si>
  <si>
    <t>Starší dorostenci 06-07</t>
  </si>
  <si>
    <t>Ženy A 89-05</t>
  </si>
  <si>
    <t>Muži A 89-05</t>
  </si>
  <si>
    <t>Muži B 88-</t>
  </si>
  <si>
    <t>Ženy B 88-</t>
  </si>
  <si>
    <t>TOM - KČT Kralupy</t>
  </si>
  <si>
    <t>Skaut Týnec n.S.</t>
  </si>
  <si>
    <t>Peter Molitoris 80</t>
  </si>
  <si>
    <t>Linda Vápenková 14</t>
  </si>
  <si>
    <t>Natálie Vápenková 17</t>
  </si>
  <si>
    <t>Broňa Toralová 15</t>
  </si>
  <si>
    <t>Vít Toral 13</t>
  </si>
  <si>
    <t>Jan Bohm 11</t>
  </si>
  <si>
    <t>Tereza Bohmová 06</t>
  </si>
  <si>
    <t>Machek Václav 07</t>
  </si>
  <si>
    <t>Jakub Hofman 02</t>
  </si>
  <si>
    <t>Petra Bohmová 04</t>
  </si>
  <si>
    <t>Kateřina Popová 02</t>
  </si>
  <si>
    <t>Tereza Málková 98</t>
  </si>
  <si>
    <t>Martin Slabý 82</t>
  </si>
  <si>
    <t>Milan Fógl 66</t>
  </si>
  <si>
    <t>Kamila Vápenková 87</t>
  </si>
  <si>
    <t>Lucie Vavříková 88</t>
  </si>
  <si>
    <t>Lucie Pázlerová 88</t>
  </si>
  <si>
    <t>Rodiče s dětmi</t>
  </si>
  <si>
    <t>Kryštof Sodomka 22</t>
  </si>
  <si>
    <t>Matěj Navrátil 16</t>
  </si>
  <si>
    <t>Vojtěch Vavřík 18 a Tomáš Vavřík 21</t>
  </si>
  <si>
    <t>Vlastní</t>
  </si>
  <si>
    <t>Vojtěch Benák 04</t>
  </si>
  <si>
    <t>Jana Machorková 92</t>
  </si>
  <si>
    <t>Eva Babicová 88</t>
  </si>
  <si>
    <t>Kristýna Ševčíková 07</t>
  </si>
  <si>
    <t>Marie Pavliščová 09</t>
  </si>
  <si>
    <t>modrá</t>
  </si>
  <si>
    <t>bílá</t>
  </si>
  <si>
    <t>červená</t>
  </si>
  <si>
    <t xml:space="preserve">13.4. 2024 Český Brod </t>
  </si>
  <si>
    <t>Číslo</t>
  </si>
  <si>
    <t>Eliška Jelínková 11</t>
  </si>
  <si>
    <t xml:space="preserve">Dan Vybíral </t>
  </si>
  <si>
    <t>František Štěpán 08</t>
  </si>
  <si>
    <t>Kryštof Sodomka 22 a Matěj Navrátil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</si>
</sst>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"/>
  </numFmts>
  <fonts count="17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1"/>
      <color rgb="FF000000"/>
      <name val="Calibri"/>
      <family val="2"/>
      <charset val="238"/>
    </font>
    <font>
      <sz val="12"/>
      <name val="Aptos"/>
      <family val="2"/>
    </font>
    <font>
      <sz val="10"/>
      <color theme="1"/>
      <name val="Arial CE"/>
      <family val="2"/>
      <charset val="238"/>
    </font>
    <font>
      <sz val="10"/>
      <color theme="0"/>
      <name val="Arial CE"/>
      <family val="2"/>
      <charset val="238"/>
    </font>
    <font>
      <sz val="9"/>
      <color theme="1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8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9" fillId="3" borderId="1" xfId="0" applyFont="1" applyFill="1" applyBorder="1"/>
    <xf numFmtId="0" fontId="10" fillId="0" borderId="0" xfId="0" applyFont="1"/>
    <xf numFmtId="0" fontId="0" fillId="2" borderId="0" xfId="0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0" fontId="5" fillId="4" borderId="0" xfId="0" applyFont="1" applyFill="1" applyAlignment="1">
      <alignment horizontal="center"/>
    </xf>
    <xf numFmtId="21" fontId="0" fillId="0" borderId="0" xfId="0" applyNumberFormat="1"/>
    <xf numFmtId="0" fontId="13" fillId="0" borderId="0" xfId="0" applyFont="1"/>
    <xf numFmtId="0" fontId="14" fillId="5" borderId="2" xfId="0" applyFont="1" applyFill="1" applyBorder="1"/>
    <xf numFmtId="0" fontId="14" fillId="0" borderId="2" xfId="0" applyFont="1" applyBorder="1"/>
    <xf numFmtId="0" fontId="14" fillId="5" borderId="0" xfId="0" applyFont="1" applyFill="1"/>
    <xf numFmtId="0" fontId="0" fillId="0" borderId="2" xfId="0" applyBorder="1"/>
    <xf numFmtId="0" fontId="0" fillId="0" borderId="3" xfId="0" applyBorder="1"/>
    <xf numFmtId="1" fontId="0" fillId="0" borderId="0" xfId="0" applyNumberFormat="1"/>
    <xf numFmtId="1" fontId="14" fillId="5" borderId="3" xfId="0" applyNumberFormat="1" applyFont="1" applyFill="1" applyBorder="1"/>
    <xf numFmtId="1" fontId="14" fillId="0" borderId="3" xfId="0" applyNumberFormat="1" applyFont="1" applyBorder="1"/>
    <xf numFmtId="0" fontId="14" fillId="0" borderId="3" xfId="0" applyFont="1" applyBorder="1"/>
    <xf numFmtId="0" fontId="14" fillId="5" borderId="3" xfId="0" applyFont="1" applyFill="1" applyBorder="1"/>
    <xf numFmtId="0" fontId="14" fillId="0" borderId="0" xfId="0" applyFont="1"/>
    <xf numFmtId="1" fontId="14" fillId="2" borderId="3" xfId="0" applyNumberFormat="1" applyFont="1" applyFill="1" applyBorder="1"/>
    <xf numFmtId="0" fontId="14" fillId="0" borderId="5" xfId="0" applyFont="1" applyBorder="1"/>
    <xf numFmtId="0" fontId="14" fillId="2" borderId="0" xfId="0" applyFont="1" applyFill="1"/>
    <xf numFmtId="0" fontId="0" fillId="0" borderId="5" xfId="0" applyBorder="1"/>
    <xf numFmtId="0" fontId="0" fillId="0" borderId="6" xfId="0" applyBorder="1"/>
    <xf numFmtId="0" fontId="14" fillId="5" borderId="5" xfId="0" applyFont="1" applyFill="1" applyBorder="1"/>
    <xf numFmtId="21" fontId="14" fillId="5" borderId="5" xfId="0" applyNumberFormat="1" applyFont="1" applyFill="1" applyBorder="1"/>
    <xf numFmtId="21" fontId="14" fillId="0" borderId="5" xfId="0" applyNumberFormat="1" applyFont="1" applyBorder="1"/>
    <xf numFmtId="21" fontId="14" fillId="0" borderId="2" xfId="0" applyNumberFormat="1" applyFont="1" applyBorder="1"/>
    <xf numFmtId="0" fontId="14" fillId="5" borderId="7" xfId="0" applyFont="1" applyFill="1" applyBorder="1"/>
    <xf numFmtId="0" fontId="14" fillId="0" borderId="7" xfId="0" applyFont="1" applyBorder="1"/>
    <xf numFmtId="0" fontId="14" fillId="0" borderId="4" xfId="0" applyFont="1" applyBorder="1"/>
    <xf numFmtId="1" fontId="14" fillId="0" borderId="0" xfId="0" applyNumberFormat="1" applyFont="1"/>
    <xf numFmtId="0" fontId="1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/>
    <xf numFmtId="164" fontId="5" fillId="4" borderId="0" xfId="0" applyNumberFormat="1" applyFont="1" applyFill="1" applyAlignment="1">
      <alignment horizontal="center"/>
    </xf>
  </cellXfs>
  <cellStyles count="2">
    <cellStyle name="Normální" xfId="0" builtinId="0"/>
    <cellStyle name="Normální 2" xfId="1" xr:uid="{B47D4B69-494E-4AB8-A9E8-C89519D5DEF5}"/>
  </cellStyles>
  <dxfs count="5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26" formatCode="h:mm:ss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26" formatCode="h:mm:ss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70C2FC-5A26-44E6-9B8E-7F5868C4F330}" name="Tabulka6" displayName="Tabulka6" ref="A6:R19" totalsRowShown="0" headerRowDxfId="568" dataDxfId="567">
  <autoFilter ref="A6:R19" xr:uid="{93D7FDA1-F588-4C1C-AA3F-6D9D6D1A48C6}"/>
  <sortState xmlns:xlrd2="http://schemas.microsoft.com/office/spreadsheetml/2017/richdata2" ref="A7:R19">
    <sortCondition ref="R6:R19"/>
  </sortState>
  <tableColumns count="18">
    <tableColumn id="1" xr3:uid="{77D9B9D3-34AD-4464-BEDD-D7C208C9A1CF}" name="Poř. " dataDxfId="566"/>
    <tableColumn id="2" xr3:uid="{2E4CA13D-3F09-4F6D-AF19-5B21C6020E12}" name="jméno, příjmení, rok narození" dataDxfId="565"/>
    <tableColumn id="3" xr3:uid="{1199F66D-CD24-4451-A8FF-C5089CB7439F}" name="organizace" dataDxfId="564"/>
    <tableColumn id="4" xr3:uid="{757CA3F1-D5FA-4E86-96AE-D76D7426DC7B}" name="V" dataDxfId="563"/>
    <tableColumn id="5" xr3:uid="{18D53F9B-044D-425D-88D3-AD603755305D}" name="O" dataDxfId="562"/>
    <tableColumn id="6" xr3:uid="{BDA56C1E-7F87-481D-9290-91BB3723E9A2}" name="U" dataDxfId="561"/>
    <tableColumn id="7" xr3:uid="{0364D8AC-FCB9-4170-8DDD-64BB6F7940EE}" name="M" dataDxfId="560"/>
    <tableColumn id="8" xr3:uid="{87D23C6B-61C5-4044-B461-8C6F884C48ED}" name="A" dataDxfId="559"/>
    <tableColumn id="9" xr3:uid="{9485DB93-EF79-4CF4-BBC9-8B140C04FFCF}" name="PL" dataDxfId="558"/>
    <tableColumn id="10" xr3:uid="{0689B4D4-4FEE-407D-88A2-AF1B5866B42F}" name="TT" dataDxfId="557"/>
    <tableColumn id="11" xr3:uid="{0A4546A3-A0DF-4068-A6DC-12A1A2B6136A}" name="D" dataDxfId="556"/>
    <tableColumn id="12" xr3:uid="{ECBB33B8-210D-4CBD-98E8-7B8F3CF44F3C}" name="KPČ" dataDxfId="555"/>
    <tableColumn id="13" xr3:uid="{488D0E88-CE75-40AC-A066-A9CDB825D89C}" name="suma" dataDxfId="554">
      <calculatedColumnFormula>SUM(Tabulka6[[#This Row],[V]:[KPČ]])</calculatedColumnFormula>
    </tableColumn>
    <tableColumn id="14" xr3:uid="{0F3756F0-3479-4B31-B018-0D878E54C75F}" name="cíl" dataDxfId="553"/>
    <tableColumn id="15" xr3:uid="{DE525044-1F5D-40E0-ACA5-8F3D82D1C2CD}" name="start" dataDxfId="552"/>
    <tableColumn id="16" xr3:uid="{9CC1FACA-B3F4-4321-9EF9-E65830F146F6}" name="čas" dataDxfId="551">
      <calculatedColumnFormula>Tabulka6[[#This Row],[cíl]]-Tabulka6[[#This Row],[start]]</calculatedColumnFormula>
    </tableColumn>
    <tableColumn id="17" xr3:uid="{86B43E4A-A281-4E4B-9909-729AB8048B5A}" name="zdržení" dataDxfId="550"/>
    <tableColumn id="18" xr3:uid="{688C34F8-0591-47CF-BACC-F529F021B2EC}" name="celkem " dataDxfId="549">
      <calculatedColumnFormula>P7+TIME(0,M7,0)-Q7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76D60F5-B51C-41C3-8A32-FB068AE461A6}" name="Tabulka16" displayName="Tabulka16" ref="A156:R169" totalsRowShown="0" headerRowDxfId="390" dataDxfId="389">
  <autoFilter ref="A156:R169" xr:uid="{1E8FE1ED-BEEC-42EB-B013-81531B0FDBB3}"/>
  <sortState xmlns:xlrd2="http://schemas.microsoft.com/office/spreadsheetml/2017/richdata2" ref="A157:R169">
    <sortCondition ref="R156:R169"/>
  </sortState>
  <tableColumns count="18">
    <tableColumn id="1" xr3:uid="{ACA5FA89-4B4B-42BC-ADED-FC2B638820B9}" name="Poř. " dataDxfId="388"/>
    <tableColumn id="2" xr3:uid="{728F80D1-A163-4D5E-BCA0-08A1305D285A}" name="jméno, příjmení, rok narození" dataDxfId="387"/>
    <tableColumn id="3" xr3:uid="{61F3949E-6C0E-41E4-AD6E-C5D6FB2CCA36}" name="organizace" dataDxfId="386"/>
    <tableColumn id="4" xr3:uid="{41A98F2B-EF02-4A85-A985-FBA16EFCFD52}" name="V" dataDxfId="385"/>
    <tableColumn id="5" xr3:uid="{34888259-464A-4536-A4F4-793BC7F568DB}" name="O" dataDxfId="384"/>
    <tableColumn id="6" xr3:uid="{86130F71-1039-423F-8307-02C621ED6C78}" name="U" dataDxfId="383"/>
    <tableColumn id="7" xr3:uid="{E7323B78-ADA5-40ED-8DFB-5B668B42E11D}" name="M" dataDxfId="382"/>
    <tableColumn id="8" xr3:uid="{F12E8CA1-CFFF-41E3-ADD6-52A7CF7BF803}" name="A" dataDxfId="381"/>
    <tableColumn id="9" xr3:uid="{9AAE1362-2594-4A3B-BB82-464279A86BE4}" name="PL" dataDxfId="380"/>
    <tableColumn id="10" xr3:uid="{AD249CFB-DC89-4206-9289-BC4A5FB2B1C3}" name="TT" dataDxfId="379"/>
    <tableColumn id="11" xr3:uid="{DF5FFF3C-0515-43AC-860B-7264EFECB0E4}" name="D" dataDxfId="378"/>
    <tableColumn id="12" xr3:uid="{1919E29F-22D1-4603-9FC4-95E3CD38185B}" name="KPČ" dataDxfId="377"/>
    <tableColumn id="13" xr3:uid="{A9A15F02-88A9-40B1-B21B-57864A169FDD}" name="suma" dataDxfId="376">
      <calculatedColumnFormula>SUM(Tabulka16[[#This Row],[V]:[KPČ]])</calculatedColumnFormula>
    </tableColumn>
    <tableColumn id="14" xr3:uid="{A09506C8-62CA-469F-BBE7-43AC91B8A247}" name="cíl" dataDxfId="375"/>
    <tableColumn id="15" xr3:uid="{122C33B1-A73A-4669-980F-C6894840E19A}" name="start" dataDxfId="374"/>
    <tableColumn id="16" xr3:uid="{018F4CF0-4282-497D-B450-213E5F0D756C}" name="čas" dataDxfId="373">
      <calculatedColumnFormula>Tabulka16[[#This Row],[cíl]]-Tabulka16[[#This Row],[start]]</calculatedColumnFormula>
    </tableColumn>
    <tableColumn id="17" xr3:uid="{25552E3D-A08D-4D5C-B106-5F42FAF7EB6C}" name="zdržení" dataDxfId="372"/>
    <tableColumn id="18" xr3:uid="{65F97817-B6DA-48E1-878F-A8E982A1EEA6}" name="celkem " dataDxfId="371">
      <calculatedColumnFormula>P157+TIME(0,M157,0)-Q157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6D97019-DE67-4521-AB43-E4797286B08A}" name="Tabulka17" displayName="Tabulka17" ref="A172:R183" totalsRowShown="0" headerRowDxfId="370" dataDxfId="369">
  <autoFilter ref="A172:R183" xr:uid="{E24F3461-C51A-444E-ACAB-84382BE7C00B}"/>
  <sortState xmlns:xlrd2="http://schemas.microsoft.com/office/spreadsheetml/2017/richdata2" ref="A173:R183">
    <sortCondition ref="R172:R183"/>
  </sortState>
  <tableColumns count="18">
    <tableColumn id="1" xr3:uid="{70BC1278-C47B-4511-97E2-FA3F010B69D9}" name="Poř. " dataDxfId="368"/>
    <tableColumn id="2" xr3:uid="{FAF73802-212B-451A-B89B-B04B97714EC9}" name="jméno, příjmení, rok narození"/>
    <tableColumn id="3" xr3:uid="{16F9EEFE-1E0A-4FE8-B1EC-235D17E29079}" name="organizace" dataDxfId="367"/>
    <tableColumn id="4" xr3:uid="{A0794E68-8B31-4380-97AF-D5E62F441520}" name="V" dataDxfId="366"/>
    <tableColumn id="5" xr3:uid="{2B748122-59FE-4AAC-9B70-FB571C1E4C95}" name="O" dataDxfId="365"/>
    <tableColumn id="6" xr3:uid="{B4A256A7-B64C-46F8-8B7F-947645173281}" name="U" dataDxfId="364"/>
    <tableColumn id="7" xr3:uid="{42084A8D-BB40-4F6F-8D85-C9E8CC32457A}" name="M" dataDxfId="363"/>
    <tableColumn id="8" xr3:uid="{1C0193FD-CAFF-4C5B-9952-0B506DA153CE}" name="A" dataDxfId="362"/>
    <tableColumn id="9" xr3:uid="{3D106B3D-597B-453C-A00D-D5CE8263A429}" name="PL" dataDxfId="361"/>
    <tableColumn id="10" xr3:uid="{E09CB3C4-C8AA-4955-A03D-CDB0D45AD964}" name="TT" dataDxfId="360"/>
    <tableColumn id="11" xr3:uid="{78A14761-27B0-4CCC-B0F8-B2E49875CA84}" name="D" dataDxfId="359"/>
    <tableColumn id="12" xr3:uid="{45DEA507-2CDE-4BC0-B923-DA6694DA7C5D}" name="KPČ" dataDxfId="358"/>
    <tableColumn id="13" xr3:uid="{6BC13059-68C4-4E85-904B-6639BAAC2046}" name="suma" dataDxfId="357">
      <calculatedColumnFormula>SUM(Tabulka17[[#This Row],[V]:[KPČ]])</calculatedColumnFormula>
    </tableColumn>
    <tableColumn id="14" xr3:uid="{222B2D71-9CED-4318-9DBE-2CFA86A65F85}" name="cíl" dataDxfId="356"/>
    <tableColumn id="15" xr3:uid="{CE1D9286-4019-43B4-AD29-2FDC73B0C3CC}" name="start" dataDxfId="355"/>
    <tableColumn id="16" xr3:uid="{82057628-0A8A-4733-890A-38038C0D6179}" name="čas" dataDxfId="354">
      <calculatedColumnFormula>Tabulka17[[#This Row],[cíl]]-Tabulka17[[#This Row],[start]]</calculatedColumnFormula>
    </tableColumn>
    <tableColumn id="17" xr3:uid="{B016CCE1-8915-4627-A02D-1D42E3A110C8}" name="zdržení" dataDxfId="353"/>
    <tableColumn id="18" xr3:uid="{4970FB3C-0F3C-4AB1-A01A-956AC6DC712B}" name="celkem " dataDxfId="352">
      <calculatedColumnFormula>P173+TIME(0,M173,0)-Q173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7776DED-9CF1-4CC1-B31C-95F5CFD37221}" name="Tabulka19" displayName="Tabulka19" ref="B73:R80" totalsRowShown="0">
  <autoFilter ref="B73:R80" xr:uid="{6BF055A3-A4B0-42A1-BBDC-E0125DA37874}"/>
  <sortState xmlns:xlrd2="http://schemas.microsoft.com/office/spreadsheetml/2017/richdata2" ref="B74:R80">
    <sortCondition ref="R73:R80"/>
  </sortState>
  <tableColumns count="17">
    <tableColumn id="1" xr3:uid="{4B4B8238-FE18-4E5F-8C5E-55DAD7D48D7E}" name="jméno, příjmení, rok narození"/>
    <tableColumn id="2" xr3:uid="{A5AC97C4-9A5A-4763-A052-A69888073389}" name="organizace"/>
    <tableColumn id="3" xr3:uid="{551A2F01-39F6-4562-A714-B37D09C691FC}" name="V"/>
    <tableColumn id="4" xr3:uid="{9041D32D-6C2F-4BCE-8D0A-EFC18901D9CB}" name="O"/>
    <tableColumn id="5" xr3:uid="{03F937D8-FE34-448C-9808-8287D89828F5}" name="U"/>
    <tableColumn id="6" xr3:uid="{79DFB0F4-884E-4218-BF75-6BC97295555D}" name="M"/>
    <tableColumn id="7" xr3:uid="{C533673E-44E8-4FF6-BB1C-3250DD81DB73}" name="A"/>
    <tableColumn id="8" xr3:uid="{C455F2A4-B001-4ADD-814D-4666820BCDAA}" name="PL"/>
    <tableColumn id="9" xr3:uid="{C5BCDFD3-A018-4FD7-A8D0-1E6F357D3584}" name="TT"/>
    <tableColumn id="10" xr3:uid="{5619BDBC-2C58-4FF9-B30A-0AC337833708}" name="D"/>
    <tableColumn id="11" xr3:uid="{246493C4-93BE-454A-8A95-EADCA40A253A}" name="KPČ"/>
    <tableColumn id="12" xr3:uid="{E18742FC-A97C-423A-8515-685CD49ECBB3}" name="suma" dataDxfId="351">
      <calculatedColumnFormula>SUM(Tabulka19[[#This Row],[V]:[KPČ]])</calculatedColumnFormula>
    </tableColumn>
    <tableColumn id="13" xr3:uid="{28BE93DE-8096-4D63-B427-B94067AE8B97}" name="cíl"/>
    <tableColumn id="14" xr3:uid="{B5D86A05-8B23-4370-9AE9-69103AA4ED0C}" name="start"/>
    <tableColumn id="15" xr3:uid="{E0DA3711-7385-4BED-9DBA-66BC5DFB81A5}" name="čas" dataDxfId="350">
      <calculatedColumnFormula>Tabulka19[[#This Row],[cíl]]-Tabulka19[[#This Row],[start]]</calculatedColumnFormula>
    </tableColumn>
    <tableColumn id="16" xr3:uid="{86416297-71C0-4C57-B303-C145CFAA0D06}" name="zdržení"/>
    <tableColumn id="17" xr3:uid="{A0C2F19B-E846-4BAF-BE8B-41A515EA5154}" name="celkem " dataDxfId="349">
      <calculatedColumnFormula>P74+TIME(0,M74,0)-Q74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DAED71-DA33-49C3-BB9A-57727CB6BD52}" name="Tabulka7" displayName="Tabulka7" ref="A22:R35" totalsRowShown="0" headerRowDxfId="348" dataDxfId="347">
  <autoFilter ref="A22:R35" xr:uid="{704CF53C-7722-4124-AB89-AC84602DCBAC}"/>
  <sortState xmlns:xlrd2="http://schemas.microsoft.com/office/spreadsheetml/2017/richdata2" ref="A23:R35">
    <sortCondition ref="R22:R35"/>
  </sortState>
  <tableColumns count="18">
    <tableColumn id="1" xr3:uid="{019CAA8D-E178-485B-837F-002F47F44184}" name="Poř. " dataDxfId="346"/>
    <tableColumn id="2" xr3:uid="{49744710-EF9A-4826-9ED6-CEB1BFE61911}" name="jméno, příjmení, rok narození" dataDxfId="345"/>
    <tableColumn id="3" xr3:uid="{B51D6677-DD4C-480A-8A2E-E5B1CEA9DA4A}" name="organizace" dataDxfId="344"/>
    <tableColumn id="4" xr3:uid="{6C58497A-2620-48FA-9D95-CEC9CFA40103}" name="V" dataDxfId="343"/>
    <tableColumn id="5" xr3:uid="{FB2DF5DC-410D-4182-A325-787DC8F7CBAB}" name="O" dataDxfId="342"/>
    <tableColumn id="6" xr3:uid="{CEE4BB96-9630-4ACC-99E0-DF6464E7F4D8}" name="U" dataDxfId="341"/>
    <tableColumn id="7" xr3:uid="{B6021A58-787F-4083-A6BD-AD30F78E516E}" name="M" dataDxfId="340"/>
    <tableColumn id="8" xr3:uid="{C6D85B2F-8C3A-42A6-97DD-8E098BB0E3E0}" name="A" dataDxfId="339"/>
    <tableColumn id="9" xr3:uid="{BD049AD8-88C7-422F-9F92-A48D058B6A1D}" name="PL" dataDxfId="338"/>
    <tableColumn id="10" xr3:uid="{C895D409-80E0-45C0-B187-FBE9D6A7F9C5}" name="TT" dataDxfId="337"/>
    <tableColumn id="11" xr3:uid="{1395B07C-CD40-4DAD-A294-3B7A970785B5}" name="D" dataDxfId="336"/>
    <tableColumn id="12" xr3:uid="{F3A8E00E-6596-4D61-8471-A3B82104CEFE}" name="KPČ" dataDxfId="335"/>
    <tableColumn id="13" xr3:uid="{85C6AF68-69AA-4A59-B4B7-28CC287D74F8}" name="suma" dataDxfId="334">
      <calculatedColumnFormula>SUM(Tabulka7[[#This Row],[V]:[KPČ]])</calculatedColumnFormula>
    </tableColumn>
    <tableColumn id="14" xr3:uid="{880DDEF9-B209-4E4C-8F77-1D6E7C1FAE5F}" name="cíl" dataDxfId="333"/>
    <tableColumn id="15" xr3:uid="{5BE30FD8-EC40-4D6F-99D5-D37729CBFF1C}" name="start" dataDxfId="332"/>
    <tableColumn id="16" xr3:uid="{9A741E7E-2D25-4D44-8898-466276E1FB9E}" name="čas" dataDxfId="331">
      <calculatedColumnFormula>Tabulka7[[#This Row],[cíl]]-Tabulka7[[#This Row],[start]]</calculatedColumnFormula>
    </tableColumn>
    <tableColumn id="17" xr3:uid="{A337EB7D-C004-4074-9021-814EA00FF063}" name="zdržení" dataDxfId="330"/>
    <tableColumn id="18" xr3:uid="{94B3BCAB-19B1-4371-BD88-9D333F42547A}" name="celkem " dataDxfId="329">
      <calculatedColumnFormula>P23+TIME(0,M23,0)-Q23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CAA105-0B7A-408A-B68F-B6F2AB3D3F78}" name="Tabulka20" displayName="Tabulka20" ref="A41:R49" totalsRowShown="0" headerRowDxfId="328" dataDxfId="327">
  <autoFilter ref="A41:R49" xr:uid="{B716E72B-15C1-47A2-8DF4-88FD7679ADCE}"/>
  <sortState xmlns:xlrd2="http://schemas.microsoft.com/office/spreadsheetml/2017/richdata2" ref="A42:R49">
    <sortCondition ref="R41:R49"/>
  </sortState>
  <tableColumns count="18">
    <tableColumn id="1" xr3:uid="{F2FA146F-BA6B-4DC0-8FDB-3142EC7F7AFB}" name="Poř. " dataDxfId="326"/>
    <tableColumn id="2" xr3:uid="{8CD9F716-2D6B-4908-ABA5-F21B421C605D}" name="jméno, příjmení, rok narození" dataDxfId="325"/>
    <tableColumn id="3" xr3:uid="{6EA3881B-9E0E-4163-9B35-405F24C55568}" name="organizace" dataDxfId="324"/>
    <tableColumn id="4" xr3:uid="{961F2768-061B-445A-99F9-75E6D29ACEAC}" name="V" dataDxfId="323"/>
    <tableColumn id="5" xr3:uid="{2F5F7E88-8F8B-4EE6-BC21-D2532DCEB925}" name="O" dataDxfId="322"/>
    <tableColumn id="6" xr3:uid="{3F5D69FC-5CE1-4AE8-A567-EA249E3CBE6C}" name="U" dataDxfId="321"/>
    <tableColumn id="7" xr3:uid="{9D17E155-A56C-4196-AFB7-9B9589BD5B9A}" name="M" dataDxfId="320"/>
    <tableColumn id="8" xr3:uid="{CC88BA25-8AF4-439A-B3A9-915D7A515DFB}" name="A" dataDxfId="319"/>
    <tableColumn id="9" xr3:uid="{A8EE7C11-F52D-4BFE-A865-0891AD23AFC1}" name="PL" dataDxfId="318"/>
    <tableColumn id="10" xr3:uid="{0DA40BB7-F4E6-40CB-8FE1-47DF91FC9116}" name="TT" dataDxfId="317"/>
    <tableColumn id="11" xr3:uid="{5293CB1F-9F25-4004-8E37-C88D064D0AF3}" name="D" dataDxfId="316"/>
    <tableColumn id="12" xr3:uid="{BDA9B04C-972D-4B70-A248-92C6174BD5E3}" name="KPČ" dataDxfId="315"/>
    <tableColumn id="13" xr3:uid="{842E5A45-17F4-4BD9-B339-2B512E7F5FA2}" name="suma" dataDxfId="314">
      <calculatedColumnFormula>SUM(Tabulka20[[#This Row],[V]:[KPČ]])</calculatedColumnFormula>
    </tableColumn>
    <tableColumn id="14" xr3:uid="{738AF510-19E2-45CA-930B-C9F54D53BFA7}" name="cíl" dataDxfId="313"/>
    <tableColumn id="15" xr3:uid="{B3BFC481-2BE8-438D-A50B-D90C800E683F}" name="start" dataDxfId="312"/>
    <tableColumn id="16" xr3:uid="{5B6D7DFF-6B0B-4D6F-94AF-2F2C6B83C517}" name="čas" dataDxfId="311">
      <calculatedColumnFormula>Tabulka20[[#This Row],[cíl]]-Tabulka20[[#This Row],[start]]</calculatedColumnFormula>
    </tableColumn>
    <tableColumn id="17" xr3:uid="{FA60A0BC-1C19-4F03-8731-EB0CD052EA27}" name="zdržení" dataDxfId="310"/>
    <tableColumn id="18" xr3:uid="{0D0E60EF-EA3A-4AF3-9EE4-8184986B0C83}" name="celkem " dataDxfId="309">
      <calculatedColumnFormula>P42+TIME(0,M42,0)-Q42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8D6E3-2789-4BCC-BFFF-173B0ED20430}" name="Tabulka92" displayName="Tabulka92" ref="A118:R124" totalsRowShown="0" headerRowDxfId="308" dataDxfId="307">
  <autoFilter ref="A118:R124" xr:uid="{0118D6E3-2789-4BCC-BFFF-173B0ED20430}"/>
  <sortState xmlns:xlrd2="http://schemas.microsoft.com/office/spreadsheetml/2017/richdata2" ref="A119:R120">
    <sortCondition ref="R63:R70"/>
  </sortState>
  <tableColumns count="18">
    <tableColumn id="1" xr3:uid="{39076B94-DE79-4CDE-9B85-733CB319F872}" name="Poř. " dataDxfId="306"/>
    <tableColumn id="2" xr3:uid="{FE8B2632-3F18-4714-9F9E-F7F3DD4895AE}" name="jméno, příjmení, rok narození" dataDxfId="305"/>
    <tableColumn id="3" xr3:uid="{C84D5D0E-0D4F-4BE8-B604-DF7231BB3BA3}" name="organizace" dataDxfId="304"/>
    <tableColumn id="4" xr3:uid="{053B96B8-9F10-4CBD-85C2-08E60A094E89}" name="V" dataDxfId="303"/>
    <tableColumn id="5" xr3:uid="{D706E2AE-6988-4FA0-91B7-D576B9F8235E}" name="O" dataDxfId="302"/>
    <tableColumn id="6" xr3:uid="{B46FDE4D-415E-48F3-988D-E8970CDBF5E1}" name="U" dataDxfId="301"/>
    <tableColumn id="7" xr3:uid="{599B546A-90C2-45CF-B950-57A92688BF9B}" name="M" dataDxfId="300"/>
    <tableColumn id="8" xr3:uid="{DB268BF6-5CEE-4895-911B-4E6EF39FF6EE}" name="A" dataDxfId="299"/>
    <tableColumn id="9" xr3:uid="{D59247C6-6E24-4670-B444-5C28EB431652}" name="PL" dataDxfId="298"/>
    <tableColumn id="10" xr3:uid="{A94347F1-9D54-4167-9200-4E8FD02A00FB}" name="TT" dataDxfId="297"/>
    <tableColumn id="11" xr3:uid="{262A08EB-527F-4B0E-B347-12DE0AE573D0}" name="D" dataDxfId="296"/>
    <tableColumn id="12" xr3:uid="{73A573B4-8BFB-4718-BC3A-6A9066AA5736}" name="KPČ" dataDxfId="295"/>
    <tableColumn id="13" xr3:uid="{E178DE83-6367-4325-BC9D-ED7CAB1BAA37}" name="suma" dataDxfId="294">
      <calculatedColumnFormula>SUM(Tabulka92[[#This Row],[V]:[KPČ]])</calculatedColumnFormula>
    </tableColumn>
    <tableColumn id="14" xr3:uid="{2463D1A7-9691-47E8-8918-F50E0B57D141}" name="cíl" dataDxfId="293"/>
    <tableColumn id="15" xr3:uid="{D8D1DEA9-7B1E-4F5A-A4A4-F74E9F582881}" name="start" dataDxfId="292"/>
    <tableColumn id="16" xr3:uid="{01E8AB82-D00C-4E50-B2DD-7368D01FE116}" name="čas" dataDxfId="291">
      <calculatedColumnFormula>Tabulka92[[#This Row],[cíl]]-Tabulka92[[#This Row],[start]]</calculatedColumnFormula>
    </tableColumn>
    <tableColumn id="17" xr3:uid="{1A525560-E9A3-4E02-8F63-CA5357EB5BB9}" name="zdržení" dataDxfId="290"/>
    <tableColumn id="18" xr3:uid="{4E11CAC4-0E1B-493F-B6B2-08F73DBE5F36}" name="celkem " dataDxfId="289">
      <calculatedColumnFormula>P119+TIME(0,M119,0)-Q119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8E20FD-28F4-4757-A6F9-62C8000A64F0}" name="Tabulka65" displayName="Tabulka65" ref="A6:R11" totalsRowShown="0" headerRowDxfId="288" dataDxfId="287">
  <autoFilter ref="A6:R11" xr:uid="{0B8E20FD-28F4-4757-A6F9-62C8000A64F0}"/>
  <sortState xmlns:xlrd2="http://schemas.microsoft.com/office/spreadsheetml/2017/richdata2" ref="A7:R11">
    <sortCondition ref="R6:R11"/>
  </sortState>
  <tableColumns count="18">
    <tableColumn id="1" xr3:uid="{2D8A5569-B652-42CB-AE2C-219CC89191C5}" name="Poř. " dataDxfId="286"/>
    <tableColumn id="2" xr3:uid="{16626E13-F564-4C37-BC93-F1BE54E85915}" name="jméno, příjmení, rok narození" dataDxfId="285"/>
    <tableColumn id="3" xr3:uid="{474282FF-EB6B-44FF-8231-D2F7CA51DA2B}" name="organizace" dataDxfId="284"/>
    <tableColumn id="4" xr3:uid="{5C093605-0F4E-4B66-BF19-B6B0194E96DF}" name="V" dataDxfId="283"/>
    <tableColumn id="5" xr3:uid="{1322D316-3B55-4F53-9F08-5AACD2483629}" name="O" dataDxfId="282"/>
    <tableColumn id="6" xr3:uid="{80949D10-E377-4AC7-9E47-D7EB1FC8922E}" name="U" dataDxfId="281"/>
    <tableColumn id="7" xr3:uid="{A181F3A0-012D-49C5-8B87-1A73A8743A47}" name="M" dataDxfId="280"/>
    <tableColumn id="8" xr3:uid="{76D75210-CBCA-454A-8FB0-ED662B5EEBAA}" name="A" dataDxfId="279"/>
    <tableColumn id="9" xr3:uid="{2407615B-3724-4783-BA57-05469927139A}" name="PL" dataDxfId="278"/>
    <tableColumn id="10" xr3:uid="{03C32A25-9BA8-4BC3-8875-C281B23DA647}" name="TT" dataDxfId="277"/>
    <tableColumn id="11" xr3:uid="{4256C648-AB8E-4A73-9789-2F749F20C36E}" name="D" dataDxfId="276"/>
    <tableColumn id="12" xr3:uid="{E9063693-2749-44BE-942B-42A02CE94D4B}" name="KPČ" dataDxfId="275"/>
    <tableColumn id="13" xr3:uid="{EBA5764D-7623-4B17-9F5E-5FF77E75E999}" name="suma" dataDxfId="274">
      <calculatedColumnFormula>SUM(Tabulka65[[#This Row],[V]:[KPČ]])</calculatedColumnFormula>
    </tableColumn>
    <tableColumn id="14" xr3:uid="{D700BCF6-4A60-423E-B2A4-0DA657AE054D}" name="cíl" dataDxfId="273"/>
    <tableColumn id="15" xr3:uid="{A1B5DD0B-DA50-4A65-AE3D-28D678E97A41}" name="start" dataDxfId="272"/>
    <tableColumn id="16" xr3:uid="{ED6EC039-7844-4210-90A3-3E2057FA82C0}" name="čas" dataDxfId="271">
      <calculatedColumnFormula>Tabulka65[[#This Row],[cíl]]-Tabulka65[[#This Row],[start]]</calculatedColumnFormula>
    </tableColumn>
    <tableColumn id="17" xr3:uid="{B31A0F7B-05FE-4B94-967E-25E1EFBB6453}" name="zdržení" dataDxfId="270"/>
    <tableColumn id="18" xr3:uid="{DC091709-2646-4EDC-8397-F36FD371198F}" name="celkem " dataDxfId="269">
      <calculatedColumnFormula>P7+TIME(0,M7,0)-Q7</calculatedColumnFormula>
    </tableColumn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033B4F-83EC-4152-A884-348182C2ECE1}" name="Tabulka86" displayName="Tabulka86" ref="A29:R32" totalsRowShown="0" headerRowDxfId="268" dataDxfId="267">
  <autoFilter ref="A29:R32" xr:uid="{7C033B4F-83EC-4152-A884-348182C2ECE1}"/>
  <sortState xmlns:xlrd2="http://schemas.microsoft.com/office/spreadsheetml/2017/richdata2" ref="A30:R32">
    <sortCondition ref="R29:R32"/>
  </sortState>
  <tableColumns count="18">
    <tableColumn id="1" xr3:uid="{8F2EA500-7A82-4A83-804B-9B0308F6E0C4}" name="Poř. " dataDxfId="0"/>
    <tableColumn id="2" xr3:uid="{816E6938-1EC0-4401-BD92-3B8CF70C8E9B}" name="jméno, příjmení, rok narození" dataDxfId="266"/>
    <tableColumn id="3" xr3:uid="{B68CEB22-4722-4A2D-B862-F53F0C9690A7}" name="organizace" dataDxfId="265"/>
    <tableColumn id="4" xr3:uid="{5AEDB7AA-8759-4813-A19B-CC450E06941B}" name="V" dataDxfId="264"/>
    <tableColumn id="5" xr3:uid="{C3640452-577A-4849-BC58-BB431169D816}" name="O" dataDxfId="263"/>
    <tableColumn id="6" xr3:uid="{8A70ABC8-65AD-4FD4-B64F-0F0B0AED0ACB}" name="U" dataDxfId="262"/>
    <tableColumn id="7" xr3:uid="{D4E2820F-121E-4181-A84A-1E031FE911D2}" name="M" dataDxfId="261"/>
    <tableColumn id="8" xr3:uid="{2234AADE-AEC5-4275-8ED4-0B14CAE9E10B}" name="A" dataDxfId="260"/>
    <tableColumn id="9" xr3:uid="{137BE495-9780-48DB-A5B1-95A781FFBBF5}" name="PL" dataDxfId="259"/>
    <tableColumn id="10" xr3:uid="{BE71B17F-E7A1-4B15-AEF1-FA96E28FE52C}" name="TT" dataDxfId="258"/>
    <tableColumn id="11" xr3:uid="{4139E5BC-0F5E-4D7D-B576-C0B471375FA5}" name="D" dataDxfId="257"/>
    <tableColumn id="12" xr3:uid="{56B0C6E6-574F-4226-B47B-5295661989D2}" name="KPČ" dataDxfId="256"/>
    <tableColumn id="13" xr3:uid="{A46C01F0-A97C-4C84-B2E6-88EF31C37137}" name="suma" dataDxfId="255">
      <calculatedColumnFormula>SUM(Tabulka86[[#This Row],[V]:[KPČ]])</calculatedColumnFormula>
    </tableColumn>
    <tableColumn id="14" xr3:uid="{58D78854-D42D-4C3B-A543-D323A54329F8}" name="cíl" dataDxfId="254"/>
    <tableColumn id="15" xr3:uid="{CB35D134-E951-416D-999B-96233E49AD2E}" name="start" dataDxfId="253"/>
    <tableColumn id="16" xr3:uid="{33296B23-59A0-4517-9D57-E3C9D5517937}" name="čas" dataDxfId="252">
      <calculatedColumnFormula>Tabulka86[[#This Row],[cíl]]-Tabulka86[[#This Row],[start]]</calculatedColumnFormula>
    </tableColumn>
    <tableColumn id="17" xr3:uid="{41CE1EEC-741A-4982-8765-58617877CCEC}" name="zdržení" dataDxfId="251"/>
    <tableColumn id="18" xr3:uid="{B2F5971D-9A4B-4E7C-870B-F73DD5030663}" name="celkem " dataDxfId="250">
      <calculatedColumnFormula>P30+TIME(0,M30,0)-Q30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B35E97A-7AC5-4A03-A51F-1019CFDB3C6F}" name="Tabulka919" displayName="Tabulka919" ref="A35:R36" totalsRowShown="0" headerRowDxfId="249" dataDxfId="248">
  <autoFilter ref="A35:R36" xr:uid="{5B35E97A-7AC5-4A03-A51F-1019CFDB3C6F}"/>
  <sortState xmlns:xlrd2="http://schemas.microsoft.com/office/spreadsheetml/2017/richdata2" ref="A36:R36">
    <sortCondition ref="R35:R36"/>
  </sortState>
  <tableColumns count="18">
    <tableColumn id="1" xr3:uid="{0EA10651-0CB6-4A10-85D3-47A0A0C6ECE8}" name="Poř. " dataDxfId="247"/>
    <tableColumn id="2" xr3:uid="{CDBC731F-A985-4A5E-9B17-8C4EE81AE891}" name="jméno, příjmení, rok narození" dataDxfId="246"/>
    <tableColumn id="3" xr3:uid="{78C5F22C-282A-4EF1-8278-D0086731CE78}" name="organizace" dataDxfId="245"/>
    <tableColumn id="4" xr3:uid="{487D123C-83E9-4FE2-96E2-7C30EE0FA6DB}" name="V" dataDxfId="244"/>
    <tableColumn id="5" xr3:uid="{D72071EB-C4C3-47CF-90B0-9656AB220074}" name="O" dataDxfId="243"/>
    <tableColumn id="6" xr3:uid="{8646C96A-98D0-41BB-9F5C-8278BA153546}" name="U" dataDxfId="242"/>
    <tableColumn id="7" xr3:uid="{580E12D2-8BC9-43ED-99A8-B89878C69CE3}" name="M" dataDxfId="241"/>
    <tableColumn id="8" xr3:uid="{D44C5A7C-8085-4DD5-989F-7BA13BC213AB}" name="A" dataDxfId="240"/>
    <tableColumn id="9" xr3:uid="{864E429E-5EDA-484F-AA42-9122EADBA51F}" name="PL" dataDxfId="239"/>
    <tableColumn id="10" xr3:uid="{82EFB023-F705-43ED-A448-5A22F4214704}" name="TT" dataDxfId="238"/>
    <tableColumn id="11" xr3:uid="{6D9E5F87-0542-46DB-B872-54A9C996A512}" name="D" dataDxfId="237"/>
    <tableColumn id="12" xr3:uid="{A460AA08-C493-42E7-A46F-DA566C3B4384}" name="KPČ" dataDxfId="236"/>
    <tableColumn id="13" xr3:uid="{1E4E53C5-7B92-4D28-9ECE-27ECF6DE4F2B}" name="suma" dataDxfId="235">
      <calculatedColumnFormula>SUM(Tabulka919[[#This Row],[V]:[KPČ]])</calculatedColumnFormula>
    </tableColumn>
    <tableColumn id="14" xr3:uid="{AA58D710-C440-4F60-AD92-5D5D03DB6457}" name="cíl" dataDxfId="234"/>
    <tableColumn id="15" xr3:uid="{404F7671-9790-4AC2-B58F-AB75D1CD9F75}" name="start" dataDxfId="233">
      <calculatedColumnFormula>VLOOKUP(Tabulka919[[#This Row],[jméno, příjmení, rok narození]],Allv0[[jméno, příjmení, rok narození]:[Vlastní]],3,FALSE)</calculatedColumnFormula>
    </tableColumn>
    <tableColumn id="16" xr3:uid="{2FE9025C-8C19-4D04-9656-FB5351A0D8F2}" name="čas" dataDxfId="232">
      <calculatedColumnFormula>Tabulka919[[#This Row],[cíl]]-Tabulka919[[#This Row],[start]]</calculatedColumnFormula>
    </tableColumn>
    <tableColumn id="17" xr3:uid="{E59FBA31-B4F6-4C5A-AAC1-990824895C06}" name="zdržení" dataDxfId="231"/>
    <tableColumn id="18" xr3:uid="{90579695-8CF8-421C-AAB0-F379CF92318A}" name="celkem " dataDxfId="230">
      <calculatedColumnFormula>P36+TIME(0,M36,0)-Q36</calculatedColumn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EB92982-1076-4A05-87BE-0396A6FCB2E1}" name="Tabulka1022" displayName="Tabulka1022" ref="A51:R53" totalsRowShown="0" headerRowDxfId="229" dataDxfId="228">
  <autoFilter ref="A51:R53" xr:uid="{BEB92982-1076-4A05-87BE-0396A6FCB2E1}"/>
  <sortState xmlns:xlrd2="http://schemas.microsoft.com/office/spreadsheetml/2017/richdata2" ref="A52:R53">
    <sortCondition ref="R51:R53"/>
  </sortState>
  <tableColumns count="18">
    <tableColumn id="1" xr3:uid="{4DB1BEC8-092F-44ED-A986-CBD664D0B91F}" name="Poř. " dataDxfId="227"/>
    <tableColumn id="2" xr3:uid="{0C889AA6-1D63-4419-A5B3-20421E4A98AA}" name="jméno, příjmení, rok narození" dataDxfId="226"/>
    <tableColumn id="3" xr3:uid="{79933F5E-7CE0-42A0-BBB7-9E1287088091}" name="organizace" dataDxfId="225"/>
    <tableColumn id="4" xr3:uid="{D2A5ADF2-FE4B-4D38-B9CE-4BAE9F405EBE}" name="V" dataDxfId="224"/>
    <tableColumn id="5" xr3:uid="{0360FE08-0D1F-4E93-B410-2DE74DE0CB0A}" name="O" dataDxfId="223"/>
    <tableColumn id="6" xr3:uid="{9B4422D6-C063-42F6-A59D-186AAA27AEEA}" name="U" dataDxfId="222"/>
    <tableColumn id="7" xr3:uid="{236A5E7D-A7FE-416E-A012-E99A20025282}" name="M" dataDxfId="221"/>
    <tableColumn id="8" xr3:uid="{5F25B028-39AA-4BE0-964D-D3AABD7ADC2F}" name="A" dataDxfId="220"/>
    <tableColumn id="9" xr3:uid="{774AE6E9-67D5-4F13-818A-CC41ECCE3B4A}" name="PL" dataDxfId="219"/>
    <tableColumn id="10" xr3:uid="{9A4F87B8-AFF0-400D-8743-D826EC88BC27}" name="TT" dataDxfId="218"/>
    <tableColumn id="11" xr3:uid="{A572C1B8-F071-4780-9687-5D1D5D2781D5}" name="D" dataDxfId="217"/>
    <tableColumn id="12" xr3:uid="{80DE74E2-E1ED-42FD-A144-78762FA94A57}" name="KPČ" dataDxfId="216"/>
    <tableColumn id="13" xr3:uid="{4074D961-F08D-4EA3-AC77-9A7C35D66AA3}" name="suma" dataDxfId="215">
      <calculatedColumnFormula>SUM(Tabulka1022[[#This Row],[V]:[KPČ]])</calculatedColumnFormula>
    </tableColumn>
    <tableColumn id="14" xr3:uid="{41060C33-D306-4E63-97EC-10B27AE59780}" name="cíl" dataDxfId="214"/>
    <tableColumn id="15" xr3:uid="{2F267399-0FE4-46DD-BD38-DF129845DA06}" name="start" dataDxfId="213"/>
    <tableColumn id="16" xr3:uid="{22DAB21D-DF73-4998-B3DC-F390FF68AEE2}" name="čas" dataDxfId="212">
      <calculatedColumnFormula>Tabulka1022[[#This Row],[cíl]]-Tabulka1022[[#This Row],[start]]</calculatedColumnFormula>
    </tableColumn>
    <tableColumn id="17" xr3:uid="{1B01F705-2655-443C-8E79-23455AAE59AE}" name="zdržení" dataDxfId="211"/>
    <tableColumn id="18" xr3:uid="{7A104553-014C-4167-8564-BE9AC3D6E4CA}" name="celkem " dataDxfId="210">
      <calculatedColumnFormula>P52+TIME(0,M52,0)-Q52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237F05-1A7A-4559-8AE3-0D1307863D37}" name="Tabulka8" displayName="Tabulka8" ref="A52:R60" totalsRowShown="0" headerRowDxfId="548" dataDxfId="547">
  <autoFilter ref="A52:R60" xr:uid="{3FDA4787-CF15-4E7D-822B-BF30C22A36CF}"/>
  <sortState xmlns:xlrd2="http://schemas.microsoft.com/office/spreadsheetml/2017/richdata2" ref="A53:R60">
    <sortCondition ref="R52:R60"/>
  </sortState>
  <tableColumns count="18">
    <tableColumn id="1" xr3:uid="{5B3201A1-62D3-46DD-A26E-370815E39D70}" name="Poř. " dataDxfId="546"/>
    <tableColumn id="2" xr3:uid="{ED6F0047-59CD-404D-9987-BBDA95458589}" name="jméno, příjmení, rok narození" dataDxfId="545"/>
    <tableColumn id="3" xr3:uid="{B1A163A4-B2D1-4C07-97DC-4D607E671A21}" name="organizace" dataDxfId="544"/>
    <tableColumn id="4" xr3:uid="{5FDB96DC-04F0-4078-88B3-E3E6A2F516FE}" name="V" dataDxfId="543"/>
    <tableColumn id="5" xr3:uid="{2FCF6068-7E02-40D3-B11A-3CE4B59DF53B}" name="O" dataDxfId="542"/>
    <tableColumn id="6" xr3:uid="{F6CE1FC5-1D05-4B3D-8895-DAA6F55C48AB}" name="U" dataDxfId="541"/>
    <tableColumn id="7" xr3:uid="{7DEA64BE-8A76-429A-BC79-42270CD126BA}" name="M" dataDxfId="540"/>
    <tableColumn id="8" xr3:uid="{3FBD2B05-3164-4DB7-8BEB-8F756BD06E32}" name="A" dataDxfId="539"/>
    <tableColumn id="9" xr3:uid="{C6365AF2-A15F-4BE4-A667-D628CE77062F}" name="PL" dataDxfId="538"/>
    <tableColumn id="10" xr3:uid="{1B1CBFF8-4D69-4B20-A2E5-E87AC23C2E99}" name="TT" dataDxfId="537"/>
    <tableColumn id="11" xr3:uid="{E9E0A29D-9701-46FF-A71C-82DD36CAA9FC}" name="D" dataDxfId="536"/>
    <tableColumn id="12" xr3:uid="{6C412733-1B5D-45E0-8B7D-53E3CD42032B}" name="KPČ" dataDxfId="535"/>
    <tableColumn id="13" xr3:uid="{79B90D3B-120A-4026-A06B-B369B9B90EEF}" name="suma" dataDxfId="534">
      <calculatedColumnFormula>SUM(Tabulka8[[#This Row],[V]:[KPČ]])</calculatedColumnFormula>
    </tableColumn>
    <tableColumn id="14" xr3:uid="{8B0CAD8E-C76F-4716-928F-6C9AF6CB2C0A}" name="cíl" dataDxfId="533"/>
    <tableColumn id="15" xr3:uid="{61873BB7-3ED4-4D53-948D-4BB440367C02}" name="start" dataDxfId="532"/>
    <tableColumn id="16" xr3:uid="{175D2C9E-23A9-4543-A09F-BC740D38D26E}" name="čas" dataDxfId="531">
      <calculatedColumnFormula>Tabulka8[[#This Row],[cíl]]-Tabulka8[[#This Row],[start]]</calculatedColumnFormula>
    </tableColumn>
    <tableColumn id="17" xr3:uid="{BF46D6CD-1CC4-442A-AE79-0A591CB07D01}" name="zdržení" dataDxfId="530"/>
    <tableColumn id="18" xr3:uid="{DA54AFEC-78B5-474F-9D88-D1B832BA913A}" name="celkem " dataDxfId="529">
      <calculatedColumnFormula>P53+TIME(0,M53,0)-Q53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FC940DE-2C54-4623-BD9D-2EA5839E2FC6}" name="Tabulka1123" displayName="Tabulka1123" ref="A47:R48" totalsRowShown="0" headerRowDxfId="209" dataDxfId="208">
  <autoFilter ref="A47:R48" xr:uid="{1FC940DE-2C54-4623-BD9D-2EA5839E2FC6}"/>
  <sortState xmlns:xlrd2="http://schemas.microsoft.com/office/spreadsheetml/2017/richdata2" ref="A48:R48">
    <sortCondition ref="R47:R48"/>
  </sortState>
  <tableColumns count="18">
    <tableColumn id="1" xr3:uid="{12BECBB8-C238-4E00-8F3C-69F1BBCF391A}" name="Poř. " dataDxfId="207"/>
    <tableColumn id="2" xr3:uid="{123DD0FE-22EB-4AD3-9BFF-32DCA3045673}" name="jméno, příjmení, rok narození"/>
    <tableColumn id="3" xr3:uid="{CD8ADAD7-CAC9-4AB2-80E5-7A3884ED7962}" name="organizace" dataDxfId="206"/>
    <tableColumn id="4" xr3:uid="{BEF90771-3A08-4742-A053-657D0130B15A}" name="V" dataDxfId="205"/>
    <tableColumn id="5" xr3:uid="{B8E1B00F-E5FF-408E-B7BA-AAA8A09AB322}" name="O" dataDxfId="204"/>
    <tableColumn id="6" xr3:uid="{09634AEB-7780-4BD0-99F0-5E4E70C2D40B}" name="U" dataDxfId="203"/>
    <tableColumn id="7" xr3:uid="{3A0B871F-0728-4841-B394-FB029624B248}" name="M" dataDxfId="202"/>
    <tableColumn id="8" xr3:uid="{88BE2129-AA40-4D8C-B1BA-B62B5F57655F}" name="A" dataDxfId="201"/>
    <tableColumn id="9" xr3:uid="{1D2CD8D6-8D09-4AFC-9619-49EA5BA44629}" name="PL" dataDxfId="200"/>
    <tableColumn id="10" xr3:uid="{9B3320EF-EF37-4FF7-B7BA-BC3D18DA9DFC}" name="TT" dataDxfId="199"/>
    <tableColumn id="11" xr3:uid="{E3083E4E-D860-4B32-9EDF-00D35EB30982}" name="D" dataDxfId="198"/>
    <tableColumn id="12" xr3:uid="{CE1F97DF-9C65-4D15-961E-3D5B2B3979B2}" name="KPČ" dataDxfId="197"/>
    <tableColumn id="13" xr3:uid="{E2D7C2C5-F4D1-4F0C-A61B-9846FBB3BB87}" name="suma" dataDxfId="196">
      <calculatedColumnFormula>SUM(Tabulka1123[[#This Row],[V]:[KPČ]])</calculatedColumnFormula>
    </tableColumn>
    <tableColumn id="14" xr3:uid="{7D32D454-F6A4-4DC1-AD6F-84BDBD1281E5}" name="cíl" dataDxfId="195"/>
    <tableColumn id="15" xr3:uid="{909580DF-DE7B-44B9-B5CE-9E6D69AF6914}" name="start" dataDxfId="194"/>
    <tableColumn id="16" xr3:uid="{D80EFCFA-8F3D-46DE-B824-27966EB1E333}" name="čas" dataDxfId="193">
      <calculatedColumnFormula>Tabulka1123[[#This Row],[cíl]]-Tabulka1123[[#This Row],[start]]</calculatedColumnFormula>
    </tableColumn>
    <tableColumn id="17" xr3:uid="{25432DD1-97D2-4FAA-BBE8-A3B0BA32BC4F}" name="zdržení" dataDxfId="192"/>
    <tableColumn id="18" xr3:uid="{FCD933AB-D275-4397-A637-6C87A581144F}" name="celkem " dataDxfId="191">
      <calculatedColumnFormula>P48+TIME(0,M48,0)-Q48</calculatedColumnFormula>
    </tableColumn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CA5A810-6C53-404D-8929-24B5DA9FEED7}" name="Tabulka1224" displayName="Tabulka1224" ref="A56:R60" totalsRowShown="0" headerRowDxfId="190" dataDxfId="189">
  <autoFilter ref="A56:R60" xr:uid="{FCA5A810-6C53-404D-8929-24B5DA9FEED7}"/>
  <sortState xmlns:xlrd2="http://schemas.microsoft.com/office/spreadsheetml/2017/richdata2" ref="A57:R60">
    <sortCondition ref="R56:R60"/>
  </sortState>
  <tableColumns count="18">
    <tableColumn id="1" xr3:uid="{0FA5A1E8-E34A-44C1-8F12-9B9E9CA1994E}" name="Poř. " dataDxfId="188"/>
    <tableColumn id="2" xr3:uid="{97400F5D-38B8-438D-846A-08488422A5D9}" name="jméno, příjmení, rok narození"/>
    <tableColumn id="3" xr3:uid="{BF5778FC-FF8F-4EC9-9AE7-F3FF63532EB8}" name="organizace" dataDxfId="187"/>
    <tableColumn id="4" xr3:uid="{57FD5985-BC7A-49DA-9504-2AE12978AF53}" name="V" dataDxfId="186"/>
    <tableColumn id="5" xr3:uid="{045663B9-E0EA-406C-AC06-2557F15C2AAB}" name="O" dataDxfId="185"/>
    <tableColumn id="6" xr3:uid="{73E1C85B-1DED-40D2-8A21-E7B4ABC6760D}" name="U" dataDxfId="184"/>
    <tableColumn id="7" xr3:uid="{578AA7F1-B201-4E64-9D45-CD7D23C687BB}" name="M" dataDxfId="183"/>
    <tableColumn id="8" xr3:uid="{40E6300C-41CF-4AF0-8C3A-E0EB2C8BB135}" name="A" dataDxfId="182"/>
    <tableColumn id="9" xr3:uid="{53241BD5-6E3D-4467-8AE0-1DFAECFA8151}" name="PL" dataDxfId="181"/>
    <tableColumn id="10" xr3:uid="{1F9EF8A3-3E3B-4A6A-B20E-FCBBDF631D35}" name="TT" dataDxfId="180"/>
    <tableColumn id="11" xr3:uid="{AD5CDCFF-1A3D-4686-B984-9C0817C1F008}" name="D" dataDxfId="179"/>
    <tableColumn id="12" xr3:uid="{096EB82B-A0D7-4F12-B433-E0AE6D73F0F7}" name="KPČ" dataDxfId="178"/>
    <tableColumn id="13" xr3:uid="{65AF0589-765B-4120-AE52-26BBB6632169}" name="suma" dataDxfId="177">
      <calculatedColumnFormula>SUM(Tabulka1224[[#This Row],[V]:[KPČ]])</calculatedColumnFormula>
    </tableColumn>
    <tableColumn id="14" xr3:uid="{9B33159B-0AE4-42F1-81B0-368FE1EFEF70}" name="cíl" dataDxfId="176"/>
    <tableColumn id="15" xr3:uid="{A67C9EE4-15F8-4C07-AE3F-41985FC2BA50}" name="start" dataDxfId="175"/>
    <tableColumn id="16" xr3:uid="{581D7A50-690E-4A51-9BAE-26AF4551E7F9}" name="čas" dataDxfId="174">
      <calculatedColumnFormula>Tabulka1224[[#This Row],[cíl]]-Tabulka1224[[#This Row],[start]]</calculatedColumnFormula>
    </tableColumn>
    <tableColumn id="17" xr3:uid="{C77B1334-B072-4A63-A868-4C65164607D4}" name="zdržení" dataDxfId="173"/>
    <tableColumn id="18" xr3:uid="{C884A676-7224-4DC0-B909-0B97EBF6D1A3}" name="celkem " dataDxfId="172">
      <calculatedColumnFormula>P57+TIME(0,M57,0)-Q57</calculatedColumnFormula>
    </tableColumn>
  </tableColumns>
  <tableStyleInfo name="TableStyleMedium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6A635AB-9CC1-48CE-9C6E-573663FF65C4}" name="Tabulka1325" displayName="Tabulka1325" ref="A68:R73" totalsRowShown="0" headerRowDxfId="171" dataDxfId="170">
  <autoFilter ref="A68:R73" xr:uid="{C6A635AB-9CC1-48CE-9C6E-573663FF65C4}"/>
  <sortState xmlns:xlrd2="http://schemas.microsoft.com/office/spreadsheetml/2017/richdata2" ref="A69:R73">
    <sortCondition ref="R68:R73"/>
  </sortState>
  <tableColumns count="18">
    <tableColumn id="1" xr3:uid="{88390891-2DB8-4296-AF6D-493B0AC36731}" name="Poř. " dataDxfId="169"/>
    <tableColumn id="2" xr3:uid="{76CAACC5-A79F-4088-91A6-57CD9917BD85}" name="jméno, příjmení, rok narození" dataDxfId="168"/>
    <tableColumn id="3" xr3:uid="{D5E9D450-1A87-4109-976D-188350C1C156}" name="organizace" dataDxfId="167"/>
    <tableColumn id="4" xr3:uid="{D11BAF5D-C4CA-4CA3-84EC-EC1768CC773A}" name="V" dataDxfId="166"/>
    <tableColumn id="5" xr3:uid="{684EC703-75C1-419B-860C-6BDCEA6AF36D}" name="O" dataDxfId="165"/>
    <tableColumn id="6" xr3:uid="{362E45BE-D74A-412B-9B72-84161ECE5B1C}" name="U" dataDxfId="164"/>
    <tableColumn id="7" xr3:uid="{C5B8A90A-ECF1-417F-8DBA-96908992463B}" name="M" dataDxfId="163"/>
    <tableColumn id="8" xr3:uid="{AAE78D70-F388-4F74-8FAE-7419AA4DA835}" name="A" dataDxfId="162"/>
    <tableColumn id="9" xr3:uid="{5CF69A6D-B40A-443B-8FA6-1B820E1AF70C}" name="PL" dataDxfId="161"/>
    <tableColumn id="10" xr3:uid="{10E660DA-DD92-4A1F-B6AB-2B20751F35A2}" name="TT" dataDxfId="160"/>
    <tableColumn id="11" xr3:uid="{EFF2AA95-4702-44EB-9789-2EB4B8714239}" name="D" dataDxfId="159"/>
    <tableColumn id="12" xr3:uid="{E864C763-A008-4097-BB23-B5CC955E2E2F}" name="KPČ" dataDxfId="158"/>
    <tableColumn id="13" xr3:uid="{732EF7F3-E318-4411-9506-9AA3951205CA}" name="suma" dataDxfId="157">
      <calculatedColumnFormula>SUM(Tabulka1325[[#This Row],[V]:[KPČ]])</calculatedColumnFormula>
    </tableColumn>
    <tableColumn id="14" xr3:uid="{12A9BDD2-3E13-47DF-994B-B5F374F79DE8}" name="cíl" dataDxfId="156"/>
    <tableColumn id="15" xr3:uid="{364F0E74-C7D0-4D47-BD8D-398D889622E7}" name="start" dataDxfId="155">
      <calculatedColumnFormula>VLOOKUP(Tabulka1325[[#This Row],[jméno, příjmení, rok narození]],Allv0[[jméno, příjmení, rok narození]:[Vlastní]],3,FALSE)</calculatedColumnFormula>
    </tableColumn>
    <tableColumn id="16" xr3:uid="{766133E3-054D-4E15-BE2A-F89D5FDD4EC0}" name="čas" dataDxfId="154">
      <calculatedColumnFormula>Tabulka1325[[#This Row],[cíl]]-Tabulka1325[[#This Row],[start]]</calculatedColumnFormula>
    </tableColumn>
    <tableColumn id="17" xr3:uid="{01208643-D318-4D1A-9758-A8AF672A10C1}" name="zdržení" dataDxfId="153"/>
    <tableColumn id="18" xr3:uid="{8AABEC4C-CD7A-491E-A7EA-30EC32097775}" name="celkem " dataDxfId="152">
      <calculatedColumnFormula>P69+TIME(0,M69,0)-Q69</calculatedColumnFormula>
    </tableColumn>
  </tableColumns>
  <tableStyleInfo name="TableStyleMedium3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E844D7B-38E5-48B9-BA61-D51C27743DC7}" name="Tabulka1426" displayName="Tabulka1426" ref="A76:R81" totalsRowShown="0" headerRowDxfId="151" dataDxfId="150">
  <autoFilter ref="A76:R81" xr:uid="{3E844D7B-38E5-48B9-BA61-D51C27743DC7}"/>
  <sortState xmlns:xlrd2="http://schemas.microsoft.com/office/spreadsheetml/2017/richdata2" ref="A77:R81">
    <sortCondition ref="R76:R81"/>
  </sortState>
  <tableColumns count="18">
    <tableColumn id="1" xr3:uid="{6239F2B1-C2E0-412F-A6A5-5F250CB8C350}" name="Poř. " dataDxfId="149"/>
    <tableColumn id="2" xr3:uid="{2314AEF8-2EDF-430C-9847-A38C3C0F2142}" name="jméno, příjmení, rok narození" dataDxfId="148"/>
    <tableColumn id="3" xr3:uid="{6C02A0A5-A55E-41A9-8C6F-F1923A41E95B}" name="organizace" dataDxfId="147"/>
    <tableColumn id="4" xr3:uid="{2F02FB1F-C24D-4958-99EC-416F7C21344A}" name="V" dataDxfId="146"/>
    <tableColumn id="5" xr3:uid="{1880C41B-BFE5-4214-A1FE-DF510DB29AD0}" name="O" dataDxfId="145"/>
    <tableColumn id="6" xr3:uid="{36787131-3E21-4A5E-A007-8E32DD9B09BC}" name="U" dataDxfId="144"/>
    <tableColumn id="7" xr3:uid="{2BF4C840-37B3-4E99-A4A8-AB67E4200C6D}" name="M" dataDxfId="143"/>
    <tableColumn id="8" xr3:uid="{23A1BB20-2F28-445B-A593-5DE31BF56F47}" name="A" dataDxfId="142"/>
    <tableColumn id="9" xr3:uid="{CDDE7A0D-B77C-4686-94BA-E096799628EE}" name="PL" dataDxfId="141"/>
    <tableColumn id="10" xr3:uid="{7B6BAA02-3B24-4914-80DE-6DEE1E30355D}" name="TT" dataDxfId="140"/>
    <tableColumn id="11" xr3:uid="{B1DB2D8B-B818-4507-B73E-B29984CC7140}" name="D" dataDxfId="139"/>
    <tableColumn id="12" xr3:uid="{F0407EDD-F30C-48CA-B23C-37E5726C9B25}" name="KPČ" dataDxfId="138"/>
    <tableColumn id="13" xr3:uid="{290C597A-A260-45F6-B3C2-9B982F339ED7}" name="suma" dataDxfId="137"/>
    <tableColumn id="14" xr3:uid="{64D6850E-A42C-47C0-A1E6-B401E28AE55F}" name="cíl" dataDxfId="136"/>
    <tableColumn id="15" xr3:uid="{95033497-5339-4ADD-A59F-4735D0F1232F}" name="start" dataDxfId="135"/>
    <tableColumn id="16" xr3:uid="{ECA35BE0-E7F5-4E40-A9DC-6CC2889C8323}" name="čas" dataDxfId="134">
      <calculatedColumnFormula>Tabulka1426[[#This Row],[cíl]]-Tabulka1426[[#This Row],[start]]</calculatedColumnFormula>
    </tableColumn>
    <tableColumn id="17" xr3:uid="{31736437-1297-466E-9085-9461BEABCADE}" name="zdržení" dataDxfId="133"/>
    <tableColumn id="18" xr3:uid="{F21736B1-D220-41D7-B347-A2BF08D20A11}" name="celkem " dataDxfId="132">
      <calculatedColumnFormula>P77+TIME(0,M77,0)-Q77</calculatedColumnFormula>
    </tableColumn>
  </tableColumns>
  <tableStyleInfo name="TableStyleMedium3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11F46B0-D585-4988-8B45-16DD3650FC02}" name="Tabulka1527" displayName="Tabulka1527" ref="A83:R87" totalsRowShown="0" headerRowDxfId="131" dataDxfId="130">
  <autoFilter ref="A83:R87" xr:uid="{D11F46B0-D585-4988-8B45-16DD3650FC02}"/>
  <sortState xmlns:xlrd2="http://schemas.microsoft.com/office/spreadsheetml/2017/richdata2" ref="A84:R87">
    <sortCondition ref="R83:R87"/>
  </sortState>
  <tableColumns count="18">
    <tableColumn id="1" xr3:uid="{B671FECA-5008-49EB-BA05-EE8352EC390E}" name="Poř. " dataDxfId="129"/>
    <tableColumn id="2" xr3:uid="{2E0C3C9D-CF2A-43F2-B392-852E32C7B508}" name="jméno, příjmení, rok narození" dataDxfId="128"/>
    <tableColumn id="3" xr3:uid="{4F7E6244-0DE3-4200-87A3-3FB69F4EEB6E}" name="organizace" dataDxfId="127"/>
    <tableColumn id="4" xr3:uid="{D69160E1-DDEA-4BBA-A5A1-1B3D3A69BEF5}" name="V" dataDxfId="126"/>
    <tableColumn id="5" xr3:uid="{513B9B71-FDCF-444F-9CDF-F99A485437A2}" name="O" dataDxfId="125"/>
    <tableColumn id="6" xr3:uid="{8C0AB0B3-F905-4573-A537-7F31B9C8D0A4}" name="U" dataDxfId="124"/>
    <tableColumn id="7" xr3:uid="{3D2B1E96-7338-4899-96A0-723BC89085C8}" name="M" dataDxfId="123"/>
    <tableColumn id="8" xr3:uid="{54AC4A04-9095-416A-A238-FB644DBC2002}" name="A" dataDxfId="122"/>
    <tableColumn id="9" xr3:uid="{0E11A50F-4496-4D6A-B9B9-7D82DE6AECC2}" name="PL" dataDxfId="121"/>
    <tableColumn id="10" xr3:uid="{D4596980-7C07-4A1C-8DD2-25744A15297F}" name="TT" dataDxfId="120"/>
    <tableColumn id="11" xr3:uid="{A7CFA35A-3D25-4482-B8AB-D3DEDCFE56E0}" name="D" dataDxfId="119"/>
    <tableColumn id="12" xr3:uid="{D07B06CC-0178-4CCA-95A8-1675BEC4796B}" name="KPČ" dataDxfId="118"/>
    <tableColumn id="13" xr3:uid="{29FAC478-2689-4E62-8AC3-0FD9FF6C850F}" name="suma" dataDxfId="117">
      <calculatedColumnFormula>SUM(Tabulka1527[[#This Row],[V]:[KPČ]])</calculatedColumnFormula>
    </tableColumn>
    <tableColumn id="14" xr3:uid="{AD84664F-DEB4-4476-ABC0-376E93DD537D}" name="cíl" dataDxfId="116"/>
    <tableColumn id="15" xr3:uid="{CF5FD86D-2FD3-4553-A9A9-0A3707F5B837}" name="start" dataDxfId="115"/>
    <tableColumn id="16" xr3:uid="{D4AD256F-65C0-4C06-BBDC-A282DA375F7E}" name="čas" dataDxfId="114">
      <calculatedColumnFormula>Tabulka1527[[#This Row],[cíl]]-Tabulka1527[[#This Row],[start]]</calculatedColumnFormula>
    </tableColumn>
    <tableColumn id="17" xr3:uid="{C9615C2F-DF9F-4430-8EE7-CCBA0F6CB5D8}" name="zdržení" dataDxfId="113"/>
    <tableColumn id="18" xr3:uid="{4ED5A286-578E-4C0C-B00F-F61FF8C4DE34}" name="celkem " dataDxfId="112">
      <calculatedColumnFormula>P84+TIME(0,M84,0)-Q84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8DCBAD8-50BE-4F33-9A7B-234FF78E90EC}" name="Tabulka1628" displayName="Tabulka1628" ref="A90:R96" totalsRowShown="0" headerRowDxfId="111" dataDxfId="110">
  <autoFilter ref="A90:R96" xr:uid="{08DCBAD8-50BE-4F33-9A7B-234FF78E90EC}"/>
  <sortState xmlns:xlrd2="http://schemas.microsoft.com/office/spreadsheetml/2017/richdata2" ref="A91:R96">
    <sortCondition ref="R90:R96"/>
  </sortState>
  <tableColumns count="18">
    <tableColumn id="1" xr3:uid="{3EA797D4-F290-4EA4-8D9C-B807E97AE59E}" name="Poř. " dataDxfId="109"/>
    <tableColumn id="2" xr3:uid="{02E50A55-583A-431C-8143-19D29EEC713E}" name="jméno, příjmení, rok narození" dataDxfId="108"/>
    <tableColumn id="3" xr3:uid="{568B803C-B44A-49D3-939F-151D554CC551}" name="organizace" dataDxfId="107"/>
    <tableColumn id="4" xr3:uid="{F7E22A05-1714-4430-BD21-2FFEFBE6CB45}" name="V" dataDxfId="106"/>
    <tableColumn id="5" xr3:uid="{6B3709E0-F7DF-4F3E-B968-4FC497BC14E2}" name="O" dataDxfId="105"/>
    <tableColumn id="6" xr3:uid="{EA0E7D95-F8EB-4BF1-BE3D-94D7D1FF5703}" name="U" dataDxfId="104"/>
    <tableColumn id="7" xr3:uid="{A3698EBC-5A58-47CE-AFA2-020F3DA9C936}" name="M" dataDxfId="103"/>
    <tableColumn id="8" xr3:uid="{757F55A3-7CDD-4553-8606-31B53614652B}" name="A" dataDxfId="102"/>
    <tableColumn id="9" xr3:uid="{7432A40A-CE36-4A7B-B9A8-F5495EFB5C44}" name="PL" dataDxfId="101"/>
    <tableColumn id="10" xr3:uid="{71E9AF6C-DFCA-41EB-9F4C-B92126866FF6}" name="TT" dataDxfId="100"/>
    <tableColumn id="11" xr3:uid="{ABC35687-5C93-4E34-800D-BE6CF4E05D3E}" name="D" dataDxfId="99"/>
    <tableColumn id="12" xr3:uid="{B22AF8E7-0375-4138-B18E-45D70DCF9579}" name="KPČ" dataDxfId="98"/>
    <tableColumn id="13" xr3:uid="{606C936B-F74E-47DD-A2CF-8F3568F4EAD4}" name="suma" dataDxfId="97">
      <calculatedColumnFormula>SUM(Tabulka1628[[#This Row],[V]:[KPČ]])</calculatedColumnFormula>
    </tableColumn>
    <tableColumn id="14" xr3:uid="{D4AAE647-3112-47A8-9150-D2577E1F8AA0}" name="cíl" dataDxfId="96"/>
    <tableColumn id="15" xr3:uid="{42B7A064-6043-4079-8073-0DC77CD0C2FB}" name="start" dataDxfId="95"/>
    <tableColumn id="16" xr3:uid="{44946C8B-550A-4EC4-AF08-92B7F5B35443}" name="čas" dataDxfId="94">
      <calculatedColumnFormula>Tabulka1628[[#This Row],[cíl]]-Tabulka1628[[#This Row],[start]]</calculatedColumnFormula>
    </tableColumn>
    <tableColumn id="17" xr3:uid="{F3296C8D-E690-4FE6-BB02-C477E6E56E4D}" name="zdržení" dataDxfId="93"/>
    <tableColumn id="18" xr3:uid="{27509E5C-553E-407A-8FFE-A1F7433C3E96}" name="celkem " dataDxfId="92">
      <calculatedColumnFormula>P91+TIME(0,M91,0)-Q91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9C50E79-5335-4D92-ACEE-56D56E73A0C3}" name="Tabulka1729" displayName="Tabulka1729" ref="A99:R102" totalsRowShown="0" headerRowDxfId="91" dataDxfId="90">
  <autoFilter ref="A99:R102" xr:uid="{A9C50E79-5335-4D92-ACEE-56D56E73A0C3}"/>
  <sortState xmlns:xlrd2="http://schemas.microsoft.com/office/spreadsheetml/2017/richdata2" ref="A100:R102">
    <sortCondition ref="R99:R102"/>
  </sortState>
  <tableColumns count="18">
    <tableColumn id="1" xr3:uid="{785014CC-5380-40B1-A6E7-30F7282BB3F7}" name="Poř. " dataDxfId="89"/>
    <tableColumn id="2" xr3:uid="{B14A13B1-9DB1-4227-A776-58919B8A1032}" name="jméno, příjmení, rok narození"/>
    <tableColumn id="3" xr3:uid="{E17F9149-C1B2-4150-9167-54A6487B6B9F}" name="organizace" dataDxfId="88"/>
    <tableColumn id="4" xr3:uid="{301912EB-F63E-47E2-A148-160CCB901190}" name="V" dataDxfId="87"/>
    <tableColumn id="5" xr3:uid="{667E04F4-081C-47F3-8C17-5C6176C34BBD}" name="O" dataDxfId="86"/>
    <tableColumn id="6" xr3:uid="{FA413A99-A012-4E8A-B254-DF16D6C5A72F}" name="U" dataDxfId="85"/>
    <tableColumn id="7" xr3:uid="{F060AC89-477B-436C-9DCE-0A83890228D6}" name="M" dataDxfId="84"/>
    <tableColumn id="8" xr3:uid="{08600358-EDC3-4DD8-A449-3FA5845B5998}" name="A" dataDxfId="83"/>
    <tableColumn id="9" xr3:uid="{3FEA91ED-AFE3-457B-8A8F-E42E0E511AE9}" name="PL" dataDxfId="82"/>
    <tableColumn id="10" xr3:uid="{9A868465-E109-47AD-8139-29FBE1E793F3}" name="TT" dataDxfId="81"/>
    <tableColumn id="11" xr3:uid="{B036AFB5-372E-4D77-9287-3B1A5C7D10A8}" name="D" dataDxfId="80"/>
    <tableColumn id="12" xr3:uid="{0F970F71-A6E9-4432-96F5-E0D3FE8BC3AA}" name="KPČ" dataDxfId="79"/>
    <tableColumn id="13" xr3:uid="{E5C1C366-8238-4DD6-A274-EB578E61B0C5}" name="suma" dataDxfId="78">
      <calculatedColumnFormula>SUM(Tabulka1729[[#This Row],[V]:[KPČ]])</calculatedColumnFormula>
    </tableColumn>
    <tableColumn id="14" xr3:uid="{8329A836-33D3-4137-86DE-E13EE9739C64}" name="cíl" dataDxfId="77"/>
    <tableColumn id="15" xr3:uid="{F73C5EE7-883B-4F86-89F7-4E078F00E791}" name="start" dataDxfId="76"/>
    <tableColumn id="16" xr3:uid="{77AA15E8-DBD4-4796-BEE2-A31D748C2262}" name="čas" dataDxfId="75">
      <calculatedColumnFormula>Tabulka1729[[#This Row],[cíl]]-Tabulka1729[[#This Row],[start]]</calculatedColumnFormula>
    </tableColumn>
    <tableColumn id="17" xr3:uid="{11BD5376-0B24-4B5C-B6B8-BD33EB20F5C3}" name="zdržení" dataDxfId="74"/>
    <tableColumn id="18" xr3:uid="{5163A7B0-0DEB-4A32-B7EC-625581DE6C90}" name="celkem " dataDxfId="73">
      <calculatedColumnFormula>P100+TIME(0,M100,0)-Q100</calculatedColumnFormula>
    </tableColumn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C4182DA-62A0-44C2-B950-E092434B7D25}" name="Tabulka1930" displayName="Tabulka1930" ref="B39:R44" totalsRowShown="0">
  <autoFilter ref="B39:R44" xr:uid="{BC4182DA-62A0-44C2-B950-E092434B7D25}"/>
  <sortState xmlns:xlrd2="http://schemas.microsoft.com/office/spreadsheetml/2017/richdata2" ref="B40:R44">
    <sortCondition ref="R39:R44"/>
  </sortState>
  <tableColumns count="17">
    <tableColumn id="1" xr3:uid="{7DD46EEE-1A8E-4225-ACAA-3827CBEB70E9}" name="jméno, příjmení, rok narození"/>
    <tableColumn id="2" xr3:uid="{C4E00081-833F-42EF-8CD3-F935CF6EC7E2}" name="organizace"/>
    <tableColumn id="3" xr3:uid="{770A3EF7-A5F3-40D3-A01E-A7564E05F778}" name="V"/>
    <tableColumn id="4" xr3:uid="{87529B0A-1061-4073-A6B7-57739679DD11}" name="O"/>
    <tableColumn id="5" xr3:uid="{38105936-BE21-4628-9228-44771266A554}" name="U"/>
    <tableColumn id="6" xr3:uid="{2DAABCFB-0DEF-49B1-A8FD-51D05BD45FE0}" name="M"/>
    <tableColumn id="7" xr3:uid="{400EDA9C-2564-414C-9187-C28F27D1585D}" name="A"/>
    <tableColumn id="8" xr3:uid="{355890A0-9380-45EE-AE27-828B5A154319}" name="PL"/>
    <tableColumn id="9" xr3:uid="{5EF994BF-334A-4E53-9AEC-374D571C3CAB}" name="TT"/>
    <tableColumn id="10" xr3:uid="{0F1A7E43-E3FC-4624-9523-AD969E5E88D6}" name="D"/>
    <tableColumn id="11" xr3:uid="{129BBF87-514F-482A-8383-73CC90A530A4}" name="KPČ"/>
    <tableColumn id="12" xr3:uid="{5BABDAC1-8902-427B-81DD-0874C1C29F8A}" name="suma" dataDxfId="72">
      <calculatedColumnFormula>SUM(Tabulka1930[[#This Row],[V]:[KPČ]])</calculatedColumnFormula>
    </tableColumn>
    <tableColumn id="13" xr3:uid="{89017034-26DB-4287-8EBA-73E5C6AA0088}" name="cíl"/>
    <tableColumn id="14" xr3:uid="{E013D249-F226-40A1-A8C2-3EE0A853EA45}" name="start"/>
    <tableColumn id="15" xr3:uid="{52132673-688E-4BD6-90B2-CF5FC1DEBEF4}" name="čas" dataDxfId="71">
      <calculatedColumnFormula>Tabulka1930[[#This Row],[cíl]]-Tabulka1930[[#This Row],[start]]</calculatedColumnFormula>
    </tableColumn>
    <tableColumn id="16" xr3:uid="{5E67EC4D-C3B4-4E35-96D0-FDF314BDD5ED}" name="zdržení"/>
    <tableColumn id="17" xr3:uid="{80CDDD32-32AB-41DA-B020-E5AAF1DFEE1F}" name="celkem " dataDxfId="70">
      <calculatedColumnFormula>P40+TIME(0,M40,0)-Q40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FE85DDF-39C0-4055-8DEB-CE5A3F63459D}" name="Tabulka731" displayName="Tabulka731" ref="A14:R17" totalsRowShown="0" headerRowDxfId="69" dataDxfId="68">
  <autoFilter ref="A14:R17" xr:uid="{5FE85DDF-39C0-4055-8DEB-CE5A3F63459D}"/>
  <sortState xmlns:xlrd2="http://schemas.microsoft.com/office/spreadsheetml/2017/richdata2" ref="A15:R17">
    <sortCondition ref="R14:R17"/>
  </sortState>
  <tableColumns count="18">
    <tableColumn id="1" xr3:uid="{58B54C3A-9153-4ADD-B338-BF68262196BB}" name="Poř. " dataDxfId="67"/>
    <tableColumn id="2" xr3:uid="{A5EC21A3-82A5-4CE9-BF2D-DEFA2991BD4C}" name="jméno, příjmení, rok narození" dataDxfId="66"/>
    <tableColumn id="3" xr3:uid="{9ED4177F-AB2B-4579-928D-A1E76F098A70}" name="organizace" dataDxfId="65"/>
    <tableColumn id="4" xr3:uid="{D56D70D2-259B-468C-8153-A521E8D0D8FC}" name="V" dataDxfId="64"/>
    <tableColumn id="5" xr3:uid="{0DDCAB74-6347-46E7-BAF0-0EBABD6466E0}" name="O" dataDxfId="63"/>
    <tableColumn id="6" xr3:uid="{ED50B07F-A840-415E-A00C-4CF4BD56356A}" name="U" dataDxfId="62"/>
    <tableColumn id="7" xr3:uid="{64FE6795-6468-4C6A-8393-23CD44AE5485}" name="M" dataDxfId="61"/>
    <tableColumn id="8" xr3:uid="{53D6CA70-178C-496F-978D-890B4AA3DE04}" name="A" dataDxfId="60"/>
    <tableColumn id="9" xr3:uid="{188A6E4C-1B16-4350-8E0A-F9CEF834FA28}" name="PL" dataDxfId="59"/>
    <tableColumn id="10" xr3:uid="{CC954299-1459-4233-B4F4-3F55FF2E69A4}" name="TT" dataDxfId="58"/>
    <tableColumn id="11" xr3:uid="{22C1518C-9B33-485B-9D2B-11FACA9448DB}" name="D" dataDxfId="57"/>
    <tableColumn id="12" xr3:uid="{D2B5A3D6-FAA6-4194-B2D3-E7385409D69A}" name="KPČ" dataDxfId="56"/>
    <tableColumn id="13" xr3:uid="{3438A84E-73BC-4F57-8C34-9AFA324D11C5}" name="suma" dataDxfId="55">
      <calculatedColumnFormula>SUM(Tabulka731[[#This Row],[V]:[KPČ]])</calculatedColumnFormula>
    </tableColumn>
    <tableColumn id="14" xr3:uid="{8F9B8C65-C33B-4A5F-A67E-26D1EEBB8E19}" name="cíl" dataDxfId="54"/>
    <tableColumn id="15" xr3:uid="{67177C6C-FA56-46BB-8925-0BC049B6FC17}" name="start" dataDxfId="53"/>
    <tableColumn id="16" xr3:uid="{A6CE75ED-D1D9-41B3-9FE2-071631F7A6CD}" name="čas" dataDxfId="52">
      <calculatedColumnFormula>Tabulka731[[#This Row],[cíl]]-Tabulka731[[#This Row],[start]]</calculatedColumnFormula>
    </tableColumn>
    <tableColumn id="17" xr3:uid="{7FEFC40C-A707-466B-B32B-902274A3C5FB}" name="zdržení" dataDxfId="51"/>
    <tableColumn id="18" xr3:uid="{AEAAAB2E-91E8-4E49-8AF6-4C5AB6A46374}" name="celkem " dataDxfId="50">
      <calculatedColumnFormula>P15+TIME(0,M15,0)-Q15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96FDCF-5CB1-4E07-9A87-F69102A1FD3F}" name="Tabulka2032" displayName="Tabulka2032" ref="A21:R26" totalsRowShown="0" headerRowDxfId="49" dataDxfId="48">
  <autoFilter ref="A21:R26" xr:uid="{0096FDCF-5CB1-4E07-9A87-F69102A1FD3F}"/>
  <sortState xmlns:xlrd2="http://schemas.microsoft.com/office/spreadsheetml/2017/richdata2" ref="A22:R26">
    <sortCondition ref="R21:R26"/>
  </sortState>
  <tableColumns count="18">
    <tableColumn id="1" xr3:uid="{A793A016-8A47-45B9-BDA9-36F07F8A3C32}" name="Poř. " dataDxfId="47"/>
    <tableColumn id="2" xr3:uid="{20250820-559E-44E0-BEB5-114933D6A479}" name="jméno, příjmení, rok narození" dataDxfId="46"/>
    <tableColumn id="3" xr3:uid="{F7282D25-AB22-4141-96B6-7EFBDAF2E94E}" name="organizace" dataDxfId="45"/>
    <tableColumn id="4" xr3:uid="{49C1CD67-D2AA-4D14-8837-28A66EF8C432}" name="V" dataDxfId="44"/>
    <tableColumn id="5" xr3:uid="{10FBFC33-1D87-4FD1-A093-59AA5A6A5920}" name="O" dataDxfId="43"/>
    <tableColumn id="6" xr3:uid="{EF37E74E-A59F-4A8A-97EE-7B47EE148C2E}" name="U" dataDxfId="42"/>
    <tableColumn id="7" xr3:uid="{ED5286DF-30D9-4688-99D1-132DD6A4271A}" name="M" dataDxfId="41"/>
    <tableColumn id="8" xr3:uid="{5347E463-C3B4-44FF-97F9-B09104A4753B}" name="A" dataDxfId="40"/>
    <tableColumn id="9" xr3:uid="{556258D1-8280-4DEE-A7BF-8AE6CB954AFC}" name="PL" dataDxfId="39"/>
    <tableColumn id="10" xr3:uid="{0F7B7293-01B6-4C14-B40F-9C3958E43625}" name="TT" dataDxfId="38"/>
    <tableColumn id="11" xr3:uid="{54477598-2F40-4DDC-A5D2-AD4745EE3AAC}" name="D" dataDxfId="37"/>
    <tableColumn id="12" xr3:uid="{3FAF716C-6F84-4AA0-8B69-9B51246AAA9F}" name="KPČ" dataDxfId="36"/>
    <tableColumn id="13" xr3:uid="{F489A19C-7433-4863-9CF0-1F589648454A}" name="suma" dataDxfId="35">
      <calculatedColumnFormula>SUM(Tabulka2032[[#This Row],[V]:[KPČ]])</calculatedColumnFormula>
    </tableColumn>
    <tableColumn id="14" xr3:uid="{8D11A09A-2F7E-4529-93E8-4207A23D3554}" name="cíl" dataDxfId="34"/>
    <tableColumn id="15" xr3:uid="{AE506B5F-EEB6-4240-85CA-E57EA2B739E2}" name="start" dataDxfId="33"/>
    <tableColumn id="16" xr3:uid="{7BC6F80D-4D4E-4816-9D57-9012144792B5}" name="čas" dataDxfId="32">
      <calculatedColumnFormula>Tabulka2032[[#This Row],[cíl]]-Tabulka2032[[#This Row],[start]]</calculatedColumnFormula>
    </tableColumn>
    <tableColumn id="17" xr3:uid="{65D462D3-6091-4DFC-B0C4-45E4E2B6A4D8}" name="zdržení" dataDxfId="31"/>
    <tableColumn id="18" xr3:uid="{CC47AADC-DB1A-4743-BDB4-AEA01E735049}" name="celkem " dataDxfId="30">
      <calculatedColumnFormula>P22+TIME(0,M22,0)-Q22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7A8995-E156-4ED2-A0E8-B16BA54DB3DA}" name="Tabulka9" displayName="Tabulka9" ref="A63:R70" totalsRowShown="0" headerRowDxfId="528" dataDxfId="527">
  <autoFilter ref="A63:R70" xr:uid="{F5CA9C37-1D3F-4186-808A-DB5BA45D810E}"/>
  <sortState xmlns:xlrd2="http://schemas.microsoft.com/office/spreadsheetml/2017/richdata2" ref="A64:R70">
    <sortCondition ref="R63:R70"/>
  </sortState>
  <tableColumns count="18">
    <tableColumn id="1" xr3:uid="{BC0CAE28-41E5-4B51-9581-55DBE116F34B}" name="Poř. " dataDxfId="526"/>
    <tableColumn id="2" xr3:uid="{2ACF0387-FD80-4F21-B6E6-AA76D7E03B48}" name="jméno, příjmení, rok narození" dataDxfId="525"/>
    <tableColumn id="3" xr3:uid="{5633340E-5CBE-4637-A95D-56CFA1F7D3F6}" name="organizace" dataDxfId="524"/>
    <tableColumn id="4" xr3:uid="{C6B54176-49EC-45D9-A0FA-7498F319FB35}" name="V" dataDxfId="523"/>
    <tableColumn id="5" xr3:uid="{40483DD3-04D3-4A90-97BB-8DA627862E00}" name="O" dataDxfId="522"/>
    <tableColumn id="6" xr3:uid="{7231BEE9-108F-485E-BEA4-77D2F945B12D}" name="U" dataDxfId="521"/>
    <tableColumn id="7" xr3:uid="{C48779DC-689F-4B4E-9DCB-1E1CCEB8A12F}" name="M" dataDxfId="520"/>
    <tableColumn id="8" xr3:uid="{97C21A14-AFE6-40BE-8E6A-05C819984B22}" name="A" dataDxfId="519"/>
    <tableColumn id="9" xr3:uid="{9DE80E98-8815-47A2-A008-E138E4FE2BF1}" name="PL" dataDxfId="518"/>
    <tableColumn id="10" xr3:uid="{5BC42600-2D93-450F-9FAE-4C69F62823F6}" name="TT" dataDxfId="517"/>
    <tableColumn id="11" xr3:uid="{A145E2EA-F47C-475F-A4D5-243649A131A7}" name="D" dataDxfId="516"/>
    <tableColumn id="12" xr3:uid="{261C6CDD-057E-4614-90C2-11C1A44FE841}" name="KPČ" dataDxfId="515"/>
    <tableColumn id="13" xr3:uid="{75295166-E115-4382-92B6-AFB5C0DCB304}" name="suma" dataDxfId="514">
      <calculatedColumnFormula>SUM(Tabulka9[[#This Row],[V]:[KPČ]])</calculatedColumnFormula>
    </tableColumn>
    <tableColumn id="14" xr3:uid="{335280C2-83A9-4ABD-B583-CDB1ACADF609}" name="cíl" dataDxfId="513"/>
    <tableColumn id="15" xr3:uid="{FA907F3D-D618-4E09-995C-BA8BD2F1135A}" name="start" dataDxfId="512"/>
    <tableColumn id="16" xr3:uid="{96263D68-7FE1-40FB-A76B-5E5B6753211E}" name="čas" dataDxfId="511">
      <calculatedColumnFormula>Tabulka9[[#This Row],[cíl]]-Tabulka9[[#This Row],[start]]</calculatedColumnFormula>
    </tableColumn>
    <tableColumn id="17" xr3:uid="{9F3B108E-45B9-4E26-B61C-220231253808}" name="zdržení" dataDxfId="510"/>
    <tableColumn id="18" xr3:uid="{A9559E94-FF34-4953-A5C9-0969E67AA1D0}" name="celkem " dataDxfId="509">
      <calculatedColumnFormula>P64+TIME(0,M64,0)-Q64</calculatedColumnFormula>
    </tableColumn>
  </tableColumns>
  <tableStyleInfo name="TableStyleMedium3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8F61B87-0C67-4179-BF26-D14B4421D569}" name="Tabulka9233" displayName="Tabulka9233" ref="A63:R65" totalsRowShown="0" headerRowDxfId="29" dataDxfId="28">
  <autoFilter ref="A63:R65" xr:uid="{08F61B87-0C67-4179-BF26-D14B4421D569}"/>
  <sortState xmlns:xlrd2="http://schemas.microsoft.com/office/spreadsheetml/2017/richdata2" ref="A64:R65">
    <sortCondition ref="R35:R36"/>
  </sortState>
  <tableColumns count="18">
    <tableColumn id="1" xr3:uid="{D72ED377-7927-44C4-9ACB-D3C69DB99D8E}" name="Poř. " dataDxfId="27"/>
    <tableColumn id="2" xr3:uid="{E680B752-D061-4246-987E-9AC222B05FD6}" name="jméno, příjmení, rok narození" dataDxfId="26"/>
    <tableColumn id="3" xr3:uid="{F1756AFB-8BF9-4B89-AE98-0EB1773A74E1}" name="organizace" dataDxfId="25"/>
    <tableColumn id="4" xr3:uid="{95F84852-D371-4091-8839-E812BFCEA7D8}" name="V" dataDxfId="24"/>
    <tableColumn id="5" xr3:uid="{F64A090C-8287-417F-8CA7-D69699BC2E4B}" name="O" dataDxfId="23"/>
    <tableColumn id="6" xr3:uid="{76ABF355-9915-4DB9-A081-7F3C209A966E}" name="U" dataDxfId="22"/>
    <tableColumn id="7" xr3:uid="{09727CC0-B6C2-4D32-933B-78CCB8AC017B}" name="M" dataDxfId="21"/>
    <tableColumn id="8" xr3:uid="{FF454B6E-F18F-441D-AF23-758F818580E5}" name="A" dataDxfId="20"/>
    <tableColumn id="9" xr3:uid="{C2AAB802-E9DA-45B3-8224-0583D0AB1B1C}" name="PL" dataDxfId="19"/>
    <tableColumn id="10" xr3:uid="{7A9AA549-151E-4360-A3A0-A5ED1AEFDB6B}" name="TT" dataDxfId="18"/>
    <tableColumn id="11" xr3:uid="{114CBFC3-C902-4A08-929F-16AFFA35DA0A}" name="D" dataDxfId="17"/>
    <tableColumn id="12" xr3:uid="{287E61CB-2BBC-4D60-AD13-296C1FE89C45}" name="KPČ" dataDxfId="16"/>
    <tableColumn id="13" xr3:uid="{CDA54553-9892-4EBD-B16D-7FC72CC83743}" name="suma" dataDxfId="15">
      <calculatedColumnFormula>SUM(Tabulka9233[[#This Row],[V]:[KPČ]])</calculatedColumnFormula>
    </tableColumn>
    <tableColumn id="14" xr3:uid="{AC52821B-8219-46FC-9037-F2B6FC1B5C6A}" name="cíl" dataDxfId="14"/>
    <tableColumn id="15" xr3:uid="{339DD2D1-90BF-4DCE-8450-3D0BBDF92884}" name="start" dataDxfId="13"/>
    <tableColumn id="16" xr3:uid="{BE93A395-F69F-4E8D-814F-261E6F324010}" name="čas" dataDxfId="12">
      <calculatedColumnFormula>Tabulka9233[[#This Row],[cíl]]-Tabulka9233[[#This Row],[start]]</calculatedColumnFormula>
    </tableColumn>
    <tableColumn id="17" xr3:uid="{968FB95B-E5B0-4EEC-B297-5DFAC5A9226F}" name="zdržení" dataDxfId="11"/>
    <tableColumn id="18" xr3:uid="{7BE4D54B-DE7E-414C-BBAD-49C53D1F3042}" name="celkem " dataDxfId="10">
      <calculatedColumnFormula>P64+TIME(0,M64,0)-Q64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AC9F02-69AE-44DB-A38A-F1598F7DB3FB}" name="Allv0" displayName="Allv0" ref="B1:F53" totalsRowShown="0">
  <autoFilter ref="B1:F53" xr:uid="{15AC9F02-69AE-44DB-A38A-F1598F7DB3FB}">
    <filterColumn colId="1">
      <filters>
        <filter val="TOM - KČT Kralupy"/>
      </filters>
    </filterColumn>
  </autoFilter>
  <sortState xmlns:xlrd2="http://schemas.microsoft.com/office/spreadsheetml/2017/richdata2" ref="B2:F34">
    <sortCondition ref="D2:D34"/>
  </sortState>
  <tableColumns count="5">
    <tableColumn id="2" xr3:uid="{F4AE7944-F47B-47D7-9A2F-2AD76064137D}" name="jméno, příjmení, rok narození" dataDxfId="9"/>
    <tableColumn id="3" xr3:uid="{597DBFF4-9CD0-43FE-BCF8-66FEA245B0F6}" name="organizace" dataDxfId="8"/>
    <tableColumn id="4" xr3:uid="{2F954C59-C4E2-4835-BAED-D6A6336FD00A}" name="start" dataDxfId="7"/>
    <tableColumn id="5" xr3:uid="{D6FF21F7-87FB-4793-AB9E-28E327A0AB80}" name="Nejmladší žákyně 14+"/>
    <tableColumn id="6" xr3:uid="{A72753CD-6DB6-4A30-B762-D4A5A4C0A41C}" name="Vlastní" dataDxfId="6"/>
  </tableColumns>
  <tableStyleInfo name="TableStyleMedium7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FF3BDE0-C004-43D6-9CBD-4B82E8822BA4}" name="All_42" displayName="All_42" ref="A1:F55" totalsRowShown="0">
  <autoFilter ref="A1:F55" xr:uid="{EFF3BDE0-C004-43D6-9CBD-4B82E8822BA4}"/>
  <sortState xmlns:xlrd2="http://schemas.microsoft.com/office/spreadsheetml/2017/richdata2" ref="A2:F55">
    <sortCondition ref="A1:A55"/>
  </sortState>
  <tableColumns count="6">
    <tableColumn id="1" xr3:uid="{001DFBEC-7E18-461E-AB41-523D4EB0CE41}" name="Číslo" dataDxfId="5"/>
    <tableColumn id="2" xr3:uid="{686F8795-B5C5-4116-BF5A-A90961573C6F}" name="jméno, příjmení, rok narození" dataDxfId="4"/>
    <tableColumn id="3" xr3:uid="{664AD955-F627-414B-9BDF-31CA762D436A}" name="organizace" dataDxfId="3"/>
    <tableColumn id="4" xr3:uid="{AA5E4B45-5661-4DAA-A8BD-DD97900B3B8F}" name="start" dataDxfId="2"/>
    <tableColumn id="5" xr3:uid="{661ACE85-45F9-4753-A6A2-3B297B2090CF}" name="Nejmladší žákyně 14+"/>
    <tableColumn id="6" xr3:uid="{AF34DE57-08BC-4AED-ADA9-86B944FB7860}" name="Vlastní" dataDxfId="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69C986-7BAF-4AA8-AA28-E07AF842F0A2}" name="Tabulka10" displayName="Tabulka10" ref="A92:R100" totalsRowShown="0" headerRowDxfId="508" dataDxfId="507">
  <autoFilter ref="A92:R100" xr:uid="{B79F5126-FA7A-4658-B904-5313386C3ED4}"/>
  <sortState xmlns:xlrd2="http://schemas.microsoft.com/office/spreadsheetml/2017/richdata2" ref="A93:R100">
    <sortCondition ref="R92:R100"/>
  </sortState>
  <tableColumns count="18">
    <tableColumn id="1" xr3:uid="{450AFAC9-EB54-4304-8F43-CB1BE764FFDD}" name="Poř. " dataDxfId="506"/>
    <tableColumn id="2" xr3:uid="{D4EF290A-F70E-4A57-A5F1-4B0775546D80}" name="jméno, příjmení, rok narození" dataDxfId="505"/>
    <tableColumn id="3" xr3:uid="{7AFAE147-0CA4-4D5D-96CF-CADB392DFCDE}" name="organizace" dataDxfId="504"/>
    <tableColumn id="4" xr3:uid="{3F8DBA2B-103A-4B18-BBAC-95BE69DE6006}" name="V" dataDxfId="503"/>
    <tableColumn id="5" xr3:uid="{5A28822D-8D64-4887-AE71-06767F7524FD}" name="O" dataDxfId="502"/>
    <tableColumn id="6" xr3:uid="{DDE6E5D4-E73F-4736-94ED-084DDBD5AB72}" name="U" dataDxfId="501"/>
    <tableColumn id="7" xr3:uid="{1E3EC726-F5DF-4F2E-98CB-5F1AB3C34FF2}" name="M" dataDxfId="500"/>
    <tableColumn id="8" xr3:uid="{9FFF1E86-3014-4001-A5FA-4C8475198F2B}" name="A" dataDxfId="499"/>
    <tableColumn id="9" xr3:uid="{F0C53ED1-C445-4F10-A7A0-3517D1DF7F2F}" name="PL" dataDxfId="498"/>
    <tableColumn id="10" xr3:uid="{BF0E4EED-D6DE-4C88-94A4-D969E7FF7668}" name="TT" dataDxfId="497"/>
    <tableColumn id="11" xr3:uid="{95C72769-8B8A-4714-BD00-DFC9F7E65F64}" name="D" dataDxfId="496"/>
    <tableColumn id="12" xr3:uid="{0103980C-0F3D-4DDE-9673-5F4F06063DFF}" name="KPČ" dataDxfId="495"/>
    <tableColumn id="13" xr3:uid="{62FB7AC9-1FD5-4080-8C46-85E0979FAF59}" name="suma" dataDxfId="494">
      <calculatedColumnFormula>SUM(Tabulka10[[#This Row],[V]:[KPČ]])</calculatedColumnFormula>
    </tableColumn>
    <tableColumn id="14" xr3:uid="{DAC19A18-696F-4A25-9C76-BC1B889B15D9}" name="cíl" dataDxfId="493"/>
    <tableColumn id="15" xr3:uid="{5027354F-0872-46EA-9FE1-911B92477519}" name="start" dataDxfId="492"/>
    <tableColumn id="16" xr3:uid="{4C0CAA1D-D75A-46A8-AAAA-6C0C6B40FBBE}" name="čas" dataDxfId="491">
      <calculatedColumnFormula>Tabulka10[[#This Row],[cíl]]-Tabulka10[[#This Row],[start]]</calculatedColumnFormula>
    </tableColumn>
    <tableColumn id="17" xr3:uid="{44932022-3322-4607-BC31-C4A265CA0D3B}" name="zdržení" dataDxfId="490"/>
    <tableColumn id="18" xr3:uid="{AF518790-F84F-4A16-AEE3-26E7B2815E19}" name="celkem " dataDxfId="489">
      <calculatedColumnFormula>P93+TIME(0,M93,0)-Q93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FCC509B-C780-4212-8D7A-84D80924AF0D}" name="Tabulka11" displayName="Tabulka11" ref="A83:R87" totalsRowShown="0" headerRowDxfId="488" dataDxfId="487">
  <autoFilter ref="A83:R87" xr:uid="{AD7FBF9A-92CF-42EB-9938-1718B50E07C2}"/>
  <sortState xmlns:xlrd2="http://schemas.microsoft.com/office/spreadsheetml/2017/richdata2" ref="A84:R87">
    <sortCondition ref="R83:R87"/>
  </sortState>
  <tableColumns count="18">
    <tableColumn id="1" xr3:uid="{725698B9-904C-4B3A-8056-E7F47D79D1A6}" name="Poř. " dataDxfId="486"/>
    <tableColumn id="2" xr3:uid="{423EBB36-B6A1-43C3-86BC-363EEB11ABD8}" name="jméno, příjmení, rok narození"/>
    <tableColumn id="3" xr3:uid="{DDDC1079-8361-4CF0-9F6B-5202AEB6F7C5}" name="organizace" dataDxfId="485"/>
    <tableColumn id="4" xr3:uid="{3A1371C2-F16B-41A3-AFC7-63A548D8921C}" name="V" dataDxfId="484"/>
    <tableColumn id="5" xr3:uid="{802ACA37-B506-4D4B-85F0-928EFCD16AB3}" name="O" dataDxfId="483"/>
    <tableColumn id="6" xr3:uid="{FE0323BC-688B-4BCF-829A-EC8F13B9365F}" name="U" dataDxfId="482"/>
    <tableColumn id="7" xr3:uid="{2083C95E-78C4-47B1-A710-035E79E74914}" name="M" dataDxfId="481"/>
    <tableColumn id="8" xr3:uid="{E03FC155-FE56-4252-B962-E65496545699}" name="A" dataDxfId="480"/>
    <tableColumn id="9" xr3:uid="{0639BE9C-3099-44F8-A07B-1162144923D4}" name="PL" dataDxfId="479"/>
    <tableColumn id="10" xr3:uid="{31E074F6-B572-4A49-A268-BC93520BB24E}" name="TT" dataDxfId="478"/>
    <tableColumn id="11" xr3:uid="{8847BEB0-FD3E-42C2-8A8B-16055509EE3C}" name="D" dataDxfId="477"/>
    <tableColumn id="12" xr3:uid="{A7B8F0BC-E881-4189-B55A-C730C89A5CF5}" name="KPČ" dataDxfId="476"/>
    <tableColumn id="13" xr3:uid="{AE061D8A-1A30-4122-B76E-FA21E3A848FE}" name="suma" dataDxfId="475">
      <calculatedColumnFormula>SUM(Tabulka11[[#This Row],[V]:[KPČ]])</calculatedColumnFormula>
    </tableColumn>
    <tableColumn id="14" xr3:uid="{87CD6943-C664-4973-8C84-C6E9A3B919A6}" name="cíl" dataDxfId="474"/>
    <tableColumn id="15" xr3:uid="{302354D4-44EF-4ABB-B630-0BE559767237}" name="start" dataDxfId="473"/>
    <tableColumn id="16" xr3:uid="{A3FA4969-6E51-4CC8-94F7-2AD37B962A8F}" name="čas" dataDxfId="472">
      <calculatedColumnFormula>Tabulka11[[#This Row],[cíl]]-Tabulka11[[#This Row],[start]]</calculatedColumnFormula>
    </tableColumn>
    <tableColumn id="17" xr3:uid="{B167A49B-5889-4BAF-A0E1-22E03445B23A}" name="zdržení" dataDxfId="471"/>
    <tableColumn id="18" xr3:uid="{BDE1A31B-E4C5-496A-B2BA-75017E7EA8C1}" name="celkem " dataDxfId="470">
      <calculatedColumnFormula>P84+TIME(0,M84,0)-Q84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EFE091-057C-49D0-BB11-59E445065217}" name="Tabulka12" displayName="Tabulka12" ref="A110:R115" totalsRowShown="0" headerRowDxfId="469" dataDxfId="468">
  <autoFilter ref="A110:R115" xr:uid="{8A37BB8D-3F13-48FF-AEAC-BDC9898D315B}"/>
  <tableColumns count="18">
    <tableColumn id="1" xr3:uid="{536344B7-532C-410D-B4F8-943E869A92D8}" name="Poř. " dataDxfId="467"/>
    <tableColumn id="2" xr3:uid="{2798F573-6A25-4E91-BBB6-449E19D0B058}" name="jméno, příjmení, rok narození"/>
    <tableColumn id="3" xr3:uid="{648EB652-8E29-42E4-9889-D2FDEAB74368}" name="organizace" dataDxfId="466"/>
    <tableColumn id="4" xr3:uid="{BC06D96D-CFAD-4676-9B99-FAAA30B8652C}" name="V" dataDxfId="465"/>
    <tableColumn id="5" xr3:uid="{37FE0646-5878-43A5-9FDA-F9A1F1166540}" name="O" dataDxfId="464"/>
    <tableColumn id="6" xr3:uid="{B71F3E2E-97C1-4AEC-ACC4-4DAF5A4BA07B}" name="U" dataDxfId="463"/>
    <tableColumn id="7" xr3:uid="{2C7B5619-3606-4282-AFE0-6500B7956174}" name="M" dataDxfId="462"/>
    <tableColumn id="8" xr3:uid="{A0DA2F59-344B-4FAE-A7AD-3DA5CF8C191F}" name="A" dataDxfId="461"/>
    <tableColumn id="9" xr3:uid="{ABCD8AFF-999C-48CD-930C-EFA8DFF09039}" name="PL" dataDxfId="460"/>
    <tableColumn id="10" xr3:uid="{1F6DCB84-9808-4DC4-B3F4-D34384797B2D}" name="TT" dataDxfId="459"/>
    <tableColumn id="11" xr3:uid="{295AF351-D9E0-4A53-8DA3-6738EDDDCE67}" name="D" dataDxfId="458"/>
    <tableColumn id="12" xr3:uid="{24CF4B84-6CB8-4E9D-A8B5-802C14ACBDEE}" name="KPČ" dataDxfId="457"/>
    <tableColumn id="13" xr3:uid="{E62F7D5F-7EAB-45ED-A559-2089A4EC23A0}" name="suma" dataDxfId="456">
      <calculatedColumnFormula>SUM(Tabulka12[[#This Row],[V]:[KPČ]])</calculatedColumnFormula>
    </tableColumn>
    <tableColumn id="14" xr3:uid="{E5EB29A3-FB30-46C8-9439-BCC1FA4A747C}" name="cíl" dataDxfId="455"/>
    <tableColumn id="15" xr3:uid="{DEA92DD4-D2E1-4CBF-AC1C-95851B40D406}" name="start" dataDxfId="454"/>
    <tableColumn id="16" xr3:uid="{94AEB092-C8FE-4AB6-ABC7-932955175002}" name="čas" dataDxfId="453">
      <calculatedColumnFormula>Tabulka12[[#This Row],[cíl]]-Tabulka12[[#This Row],[start]]</calculatedColumnFormula>
    </tableColumn>
    <tableColumn id="17" xr3:uid="{8AEEDF46-787D-4991-A3FE-5BCF682AE631}" name="zdržení" dataDxfId="452"/>
    <tableColumn id="18" xr3:uid="{AFCE412C-6C48-47FE-A939-6FE8D2968524}" name="celkem " dataDxfId="451">
      <calculatedColumnFormula>P111+TIME(0,M111,0)-Q111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36AECD-B419-4B30-95B6-AC1C59F66175}" name="Tabulka13" displayName="Tabulka13" ref="A127:R134" totalsRowShown="0" headerRowDxfId="450" dataDxfId="449">
  <autoFilter ref="A127:R134" xr:uid="{E162E103-7567-4A0D-9C07-75478A6E4FBE}"/>
  <sortState xmlns:xlrd2="http://schemas.microsoft.com/office/spreadsheetml/2017/richdata2" ref="A128:R134">
    <sortCondition ref="R127:R134"/>
  </sortState>
  <tableColumns count="18">
    <tableColumn id="1" xr3:uid="{2B90010D-8C07-422D-92BE-47E0B8D24D02}" name="Poř. " dataDxfId="448"/>
    <tableColumn id="2" xr3:uid="{4F0CB234-BBAD-4633-A6BC-E103F101F245}" name="jméno, příjmení, rok narození" dataDxfId="447"/>
    <tableColumn id="3" xr3:uid="{C8B917C7-8712-424F-81DD-08B08392597C}" name="organizace" dataDxfId="446"/>
    <tableColumn id="4" xr3:uid="{868CB35B-569A-4D46-A9E2-4A94BB071AAB}" name="V" dataDxfId="445"/>
    <tableColumn id="5" xr3:uid="{8D56772F-5961-46F6-B6B2-E7A94AEB61DA}" name="O" dataDxfId="444"/>
    <tableColumn id="6" xr3:uid="{6B5C5066-C25B-4F00-A8A1-1D4D87A9D2EA}" name="U" dataDxfId="443"/>
    <tableColumn id="7" xr3:uid="{9BD333C7-3175-4D3A-916D-01F60AC10EA5}" name="M" dataDxfId="442"/>
    <tableColumn id="8" xr3:uid="{07FDB0AE-6E88-4F5F-800E-6F7AC8F03E15}" name="A" dataDxfId="441"/>
    <tableColumn id="9" xr3:uid="{F3DC643C-9AEC-43E1-88E0-23B2AF08A65B}" name="PL" dataDxfId="440"/>
    <tableColumn id="10" xr3:uid="{F08DB0A3-F2FE-42C3-8416-AF0AFC252DC3}" name="TT" dataDxfId="439"/>
    <tableColumn id="11" xr3:uid="{CD604052-DFBA-46B2-8663-623112961E11}" name="D" dataDxfId="438"/>
    <tableColumn id="12" xr3:uid="{C0F72126-F92F-4126-800A-9B0400590D22}" name="KPČ" dataDxfId="437"/>
    <tableColumn id="13" xr3:uid="{0C67B16C-303D-47DA-B330-406C57C6A05F}" name="suma" dataDxfId="436">
      <calculatedColumnFormula>SUM(Tabulka13[[#This Row],[V]:[KPČ]])</calculatedColumnFormula>
    </tableColumn>
    <tableColumn id="14" xr3:uid="{B0353207-FBE7-4C71-A8B8-186738DFD57A}" name="cíl" dataDxfId="435"/>
    <tableColumn id="15" xr3:uid="{EF8F0CC0-D094-4DEA-AB58-969000160F1F}" name="start" dataDxfId="434"/>
    <tableColumn id="16" xr3:uid="{AF760FC4-E011-4793-B5CE-B5ADD6BCFD40}" name="čas" dataDxfId="433">
      <calculatedColumnFormula>Tabulka13[[#This Row],[cíl]]-Tabulka13[[#This Row],[start]]</calculatedColumnFormula>
    </tableColumn>
    <tableColumn id="17" xr3:uid="{C3726CBB-D080-40F6-BBD3-493FA1C0D8D3}" name="zdržení" dataDxfId="432"/>
    <tableColumn id="18" xr3:uid="{6C6BB7B2-E3E3-4392-805A-143DAB90D93F}" name="celkem " dataDxfId="431">
      <calculatedColumnFormula>P128+TIME(0,M128,0)-Q128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E0BD028-47A5-4EC6-970C-8852691E2BCF}" name="Tabulka14" displayName="Tabulka14" ref="A137:R145" totalsRowShown="0" headerRowDxfId="430" dataDxfId="429">
  <autoFilter ref="A137:R145" xr:uid="{3EA08CE4-A50D-4D88-B0A0-00C94FFEEFF3}"/>
  <sortState xmlns:xlrd2="http://schemas.microsoft.com/office/spreadsheetml/2017/richdata2" ref="A138:R141">
    <sortCondition ref="R137:R141"/>
  </sortState>
  <tableColumns count="18">
    <tableColumn id="1" xr3:uid="{48ABA539-7F9C-4916-A1C8-485951615C34}" name="Poř. " dataDxfId="428"/>
    <tableColumn id="2" xr3:uid="{ED61D8A4-064A-4FBD-893C-99BECB23A0C1}" name="jméno, příjmení, rok narození" dataDxfId="427"/>
    <tableColumn id="3" xr3:uid="{8879E2B9-9AA0-49C7-B97E-F46A8CC9DAF6}" name="organizace" dataDxfId="426"/>
    <tableColumn id="4" xr3:uid="{74158CC9-78E1-4DC8-BC07-823310C8B690}" name="V" dataDxfId="425"/>
    <tableColumn id="5" xr3:uid="{FB14B675-8EAF-4175-9C16-61452B8E28AC}" name="O" dataDxfId="424"/>
    <tableColumn id="6" xr3:uid="{2840D01F-899E-4343-A939-B3FA4963F1C9}" name="U" dataDxfId="423"/>
    <tableColumn id="7" xr3:uid="{8CD50AC9-46C6-4726-974A-62549E1518DA}" name="M" dataDxfId="422"/>
    <tableColumn id="8" xr3:uid="{BFF10F7E-359A-4642-A8A1-72B45D39521E}" name="A" dataDxfId="421"/>
    <tableColumn id="9" xr3:uid="{C67ECC44-988A-4499-8267-F84BB56232A6}" name="PL" dataDxfId="420"/>
    <tableColumn id="10" xr3:uid="{CB01C334-8E37-4C90-A76C-BAF7910A30CA}" name="TT" dataDxfId="419"/>
    <tableColumn id="11" xr3:uid="{1332BF00-4BC8-47C0-AB66-A608ABD0653A}" name="D" dataDxfId="418"/>
    <tableColumn id="12" xr3:uid="{2B64BC89-742C-476B-9A6C-C1BE7FBC618B}" name="KPČ" dataDxfId="417"/>
    <tableColumn id="13" xr3:uid="{5A4EB5A5-CB4A-4BE7-BEB3-E1D3E83155F3}" name="suma" dataDxfId="416"/>
    <tableColumn id="14" xr3:uid="{9606032A-E704-465B-9240-998191DB0DCD}" name="cíl" dataDxfId="415"/>
    <tableColumn id="15" xr3:uid="{0122A438-91F4-4A54-8023-20927FE6F8AC}" name="start" dataDxfId="414"/>
    <tableColumn id="16" xr3:uid="{ECBC8F7E-4CA5-4295-97D8-370262BB6B7F}" name="čas" dataDxfId="413">
      <calculatedColumnFormula>Tabulka14[[#This Row],[cíl]]-Tabulka14[[#This Row],[start]]</calculatedColumnFormula>
    </tableColumn>
    <tableColumn id="17" xr3:uid="{F73AB632-03EB-4F84-8A91-0FC1FE5540CE}" name="zdržení" dataDxfId="412"/>
    <tableColumn id="18" xr3:uid="{C4AA3ACD-45B1-4810-9852-6A308CAA88F3}" name="celkem " dataDxfId="411">
      <calculatedColumnFormula>P138+TIME(0,M138,0)-Q138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F76E08-356D-4BC2-BE7D-7A43D75773A5}" name="Tabulka15" displayName="Tabulka15" ref="A147:R153" totalsRowShown="0" headerRowDxfId="410" dataDxfId="409">
  <autoFilter ref="A147:R153" xr:uid="{C9F7AA75-A4AD-4AAD-8590-55BDFA9632AD}"/>
  <sortState xmlns:xlrd2="http://schemas.microsoft.com/office/spreadsheetml/2017/richdata2" ref="A148:R153">
    <sortCondition ref="R147:R153"/>
  </sortState>
  <tableColumns count="18">
    <tableColumn id="1" xr3:uid="{9598B798-6FBC-4B94-BC75-6E2BF7915201}" name="Poř. " dataDxfId="408"/>
    <tableColumn id="2" xr3:uid="{F70C3C99-C96E-4D73-8E96-68C564F5918B}" name="jméno, příjmení, rok narození" dataDxfId="407"/>
    <tableColumn id="3" xr3:uid="{36F09AE0-E509-4E51-B01B-10B198DE0711}" name="organizace" dataDxfId="406"/>
    <tableColumn id="4" xr3:uid="{D8921703-0293-4DB1-B42D-45930B12D610}" name="V" dataDxfId="405"/>
    <tableColumn id="5" xr3:uid="{34DF39DD-7125-4293-8357-9808697884D7}" name="O" dataDxfId="404"/>
    <tableColumn id="6" xr3:uid="{944DC92E-5580-422C-A2A2-BE580956A47B}" name="U" dataDxfId="403"/>
    <tableColumn id="7" xr3:uid="{9601902D-B521-4CE2-A117-A80942DC3B10}" name="M" dataDxfId="402"/>
    <tableColumn id="8" xr3:uid="{3C7B2E99-4F8A-4916-972A-AB8115482809}" name="A" dataDxfId="401"/>
    <tableColumn id="9" xr3:uid="{3BC642EC-73C0-44ED-868C-D0650A84E9BE}" name="PL" dataDxfId="400"/>
    <tableColumn id="10" xr3:uid="{8330B6E3-4C23-477D-B081-494FCD5AFF49}" name="TT" dataDxfId="399"/>
    <tableColumn id="11" xr3:uid="{F8A80E97-DDA6-48EA-B0C3-BAFAC008134F}" name="D" dataDxfId="398"/>
    <tableColumn id="12" xr3:uid="{193BB300-C2CC-4D2A-88D6-9191D63F8925}" name="KPČ" dataDxfId="397"/>
    <tableColumn id="13" xr3:uid="{DF5672FF-5A37-447A-9B55-3191AAFE13A0}" name="suma" dataDxfId="396">
      <calculatedColumnFormula>SUM(Tabulka15[[#This Row],[V]:[KPČ]])</calculatedColumnFormula>
    </tableColumn>
    <tableColumn id="14" xr3:uid="{2E265A24-7D47-4CBD-B4AC-D0E1DC69E3C0}" name="cíl" dataDxfId="395"/>
    <tableColumn id="15" xr3:uid="{9B80D0A4-A07F-47B0-BB76-4682ED238E78}" name="start" dataDxfId="394"/>
    <tableColumn id="16" xr3:uid="{006DB284-A792-423B-9C99-3B5DB8023AC8}" name="čas" dataDxfId="393">
      <calculatedColumnFormula>Tabulka15[[#This Row],[cíl]]-Tabulka15[[#This Row],[start]]</calculatedColumnFormula>
    </tableColumn>
    <tableColumn id="17" xr3:uid="{1A4891AD-002D-4BD1-A599-C1A028897B74}" name="zdržení" dataDxfId="392"/>
    <tableColumn id="18" xr3:uid="{8FFFDB8E-3BDD-4259-B73C-98AF07391D48}" name="celkem " dataDxfId="391">
      <calculatedColumnFormula>P148+TIME(0,M148,0)-Q148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13" Type="http://schemas.openxmlformats.org/officeDocument/2006/relationships/table" Target="../tables/table27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12" Type="http://schemas.openxmlformats.org/officeDocument/2006/relationships/table" Target="../tables/table26.xml"/><Relationship Id="rId2" Type="http://schemas.openxmlformats.org/officeDocument/2006/relationships/table" Target="../tables/table16.xml"/><Relationship Id="rId16" Type="http://schemas.openxmlformats.org/officeDocument/2006/relationships/table" Target="../tables/table3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0.xml"/><Relationship Id="rId11" Type="http://schemas.openxmlformats.org/officeDocument/2006/relationships/table" Target="../tables/table25.xml"/><Relationship Id="rId5" Type="http://schemas.openxmlformats.org/officeDocument/2006/relationships/table" Target="../tables/table19.xml"/><Relationship Id="rId15" Type="http://schemas.openxmlformats.org/officeDocument/2006/relationships/table" Target="../tables/table29.xml"/><Relationship Id="rId10" Type="http://schemas.openxmlformats.org/officeDocument/2006/relationships/table" Target="../tables/table24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Relationship Id="rId14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1"/>
  <sheetViews>
    <sheetView zoomScaleNormal="100" zoomScaleSheetLayoutView="110" workbookViewId="0">
      <selection sqref="A1:XFD1048576"/>
    </sheetView>
  </sheetViews>
  <sheetFormatPr defaultRowHeight="13.2" x14ac:dyDescent="0.25"/>
  <cols>
    <col min="1" max="1" width="6.109375" style="1" customWidth="1"/>
    <col min="2" max="2" width="36.44140625" customWidth="1"/>
    <col min="3" max="3" width="24.77734375" customWidth="1"/>
    <col min="4" max="4" width="5.44140625" style="1" customWidth="1"/>
    <col min="5" max="5" width="6.109375" style="1" customWidth="1"/>
    <col min="6" max="7" width="5.77734375" style="1" customWidth="1"/>
    <col min="8" max="8" width="5.44140625" style="1" customWidth="1"/>
    <col min="9" max="9" width="6.88671875" style="1" customWidth="1"/>
    <col min="10" max="10" width="6.44140625" style="1" customWidth="1"/>
    <col min="11" max="11" width="6" style="1" customWidth="1"/>
    <col min="12" max="12" width="7.109375" style="1" customWidth="1"/>
    <col min="13" max="13" width="10.44140625" style="1" customWidth="1"/>
    <col min="14" max="14" width="7.88671875" style="2" bestFit="1" customWidth="1"/>
    <col min="15" max="15" width="17.77734375" style="2" bestFit="1" customWidth="1"/>
    <col min="16" max="16" width="10.21875" style="2" bestFit="1" customWidth="1"/>
    <col min="17" max="17" width="8.44140625" style="2" customWidth="1"/>
    <col min="18" max="18" width="10.44140625" style="2" bestFit="1" customWidth="1"/>
    <col min="19" max="19" width="6.109375" customWidth="1"/>
  </cols>
  <sheetData>
    <row r="1" spans="1:19" ht="22.8" x14ac:dyDescent="0.4">
      <c r="A1" s="3"/>
      <c r="C1" s="14" t="s">
        <v>49</v>
      </c>
    </row>
    <row r="2" spans="1:19" x14ac:dyDescent="0.25">
      <c r="M2" s="1" t="s">
        <v>66</v>
      </c>
    </row>
    <row r="3" spans="1:19" ht="15.6" x14ac:dyDescent="0.3">
      <c r="C3" s="4" t="s">
        <v>20</v>
      </c>
      <c r="D3"/>
      <c r="E3"/>
      <c r="J3"/>
      <c r="M3" s="5" t="s">
        <v>18</v>
      </c>
    </row>
    <row r="4" spans="1:19" ht="15.6" x14ac:dyDescent="0.3">
      <c r="C4" s="4"/>
      <c r="D4"/>
      <c r="E4"/>
      <c r="J4"/>
      <c r="M4" s="5" t="s">
        <v>67</v>
      </c>
    </row>
    <row r="5" spans="1:19" x14ac:dyDescent="0.25">
      <c r="A5" s="6"/>
      <c r="B5" s="6" t="s">
        <v>52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8"/>
    </row>
    <row r="6" spans="1:19" x14ac:dyDescent="0.25">
      <c r="A6" s="8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19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7"/>
    </row>
    <row r="7" spans="1:19" ht="14.4" x14ac:dyDescent="0.3">
      <c r="A7" s="15"/>
      <c r="B7" s="19" t="s">
        <v>50</v>
      </c>
      <c r="C7" s="19" t="s">
        <v>67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>
        <f>VLOOKUP(Tabulka6[[#This Row],[jméno, příjmení, rok narození]],Allv0[[jméno, příjmení, rok narození]:[Vlastní]],3,FALSE)</f>
        <v>1.3194444444444399E-2</v>
      </c>
      <c r="P7" s="9">
        <f>Tabulka6[[#This Row],[cíl]]-Tabulka6[[#This Row],[start]]</f>
        <v>-1.3194444444444399E-2</v>
      </c>
      <c r="Q7" s="9"/>
      <c r="R7" s="9">
        <f t="shared" ref="R7:R18" si="0">P7+TIME(0,M7,0)-Q7</f>
        <v>-1.3194444444444399E-2</v>
      </c>
      <c r="S7" s="11"/>
    </row>
    <row r="8" spans="1:19" ht="14.4" x14ac:dyDescent="0.3">
      <c r="A8" s="15"/>
      <c r="B8" s="19" t="s">
        <v>69</v>
      </c>
      <c r="C8" s="19" t="s">
        <v>66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>
        <f>VLOOKUP(Tabulka6[[#This Row],[jméno, příjmení, rok narození]],Allv0[[jméno, příjmení, rok narození]:[Vlastní]],3,FALSE)</f>
        <v>1.5277777777777699E-2</v>
      </c>
      <c r="P8" s="9">
        <f>Tabulka6[[#This Row],[cíl]]-Tabulka6[[#This Row],[start]]</f>
        <v>-1.5277777777777699E-2</v>
      </c>
      <c r="Q8" s="9"/>
      <c r="R8" s="9">
        <f t="shared" si="0"/>
        <v>-1.5277777777777699E-2</v>
      </c>
      <c r="S8" s="11"/>
    </row>
    <row r="9" spans="1:19" ht="14.4" x14ac:dyDescent="0.3">
      <c r="A9" s="15"/>
      <c r="B9" s="19" t="s">
        <v>70</v>
      </c>
      <c r="C9" s="19" t="s">
        <v>66</v>
      </c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>
        <f>VLOOKUP(Tabulka6[[#This Row],[jméno, příjmení, rok narození]],Allv0[[jméno, příjmení, rok narození]:[Vlastní]],3,FALSE)</f>
        <v>1.7361111111111101E-2</v>
      </c>
      <c r="P9" s="9">
        <f>Tabulka6[[#This Row],[cíl]]-Tabulka6[[#This Row],[start]]</f>
        <v>-1.7361111111111101E-2</v>
      </c>
      <c r="Q9" s="9"/>
      <c r="R9" s="9">
        <f t="shared" si="0"/>
        <v>-1.7361111111111101E-2</v>
      </c>
      <c r="S9" s="11"/>
    </row>
    <row r="10" spans="1:19" ht="14.4" x14ac:dyDescent="0.3">
      <c r="A10" s="15"/>
      <c r="B10" s="19" t="s">
        <v>71</v>
      </c>
      <c r="C10" s="19" t="s">
        <v>66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>
        <f>VLOOKUP(Tabulka6[[#This Row],[jméno, příjmení, rok narození]],Allv0[[jméno, příjmení, rok narození]:[Vlastní]],3,FALSE)</f>
        <v>1.94444444444444E-2</v>
      </c>
      <c r="P10" s="9">
        <f>Tabulka6[[#This Row],[cíl]]-Tabulka6[[#This Row],[start]]</f>
        <v>-1.94444444444444E-2</v>
      </c>
      <c r="Q10" s="9"/>
      <c r="R10" s="9">
        <f t="shared" si="0"/>
        <v>-1.94444444444444E-2</v>
      </c>
      <c r="S10" s="11"/>
    </row>
    <row r="11" spans="1:19" ht="14.4" x14ac:dyDescent="0.3">
      <c r="A11" s="15"/>
      <c r="B11" s="19" t="s">
        <v>22</v>
      </c>
      <c r="C11" s="19" t="s">
        <v>66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>
        <f>VLOOKUP(Tabulka6[[#This Row],[jméno, příjmení, rok narození]],Allv0[[jméno, příjmení, rok narození]:[Vlastní]],3,FALSE)</f>
        <v>2.1527777777777701E-2</v>
      </c>
      <c r="P11" s="9">
        <f>Tabulka6[[#This Row],[cíl]]-Tabulka6[[#This Row],[start]]</f>
        <v>-2.1527777777777701E-2</v>
      </c>
      <c r="Q11" s="9"/>
      <c r="R11" s="9">
        <f t="shared" si="0"/>
        <v>-2.1527777777777701E-2</v>
      </c>
      <c r="S11" s="11"/>
    </row>
    <row r="12" spans="1:19" ht="14.4" x14ac:dyDescent="0.3">
      <c r="A12" s="15"/>
      <c r="B12" s="19"/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>
        <f>Tabulka6[[#This Row],[cíl]]-Tabulka6[[#This Row],[start]]</f>
        <v>0</v>
      </c>
      <c r="Q12" s="9"/>
      <c r="R12" s="9">
        <f t="shared" si="0"/>
        <v>0</v>
      </c>
      <c r="S12" s="11"/>
    </row>
    <row r="13" spans="1:19" ht="14.4" x14ac:dyDescent="0.3">
      <c r="A13" s="15"/>
      <c r="B13" s="19"/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>
        <f>Tabulka6[[#This Row],[cíl]]-Tabulka6[[#This Row],[start]]</f>
        <v>0</v>
      </c>
      <c r="Q13" s="9"/>
      <c r="R13" s="9">
        <f t="shared" si="0"/>
        <v>0</v>
      </c>
      <c r="S13" s="11"/>
    </row>
    <row r="14" spans="1:19" x14ac:dyDescent="0.25">
      <c r="A14" s="15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f>Tabulka6[[#This Row],[cíl]]-Tabulka6[[#This Row],[start]]</f>
        <v>0</v>
      </c>
      <c r="Q14" s="9"/>
      <c r="R14" s="9">
        <f t="shared" si="0"/>
        <v>0</v>
      </c>
      <c r="S14" s="11"/>
    </row>
    <row r="15" spans="1:19" x14ac:dyDescent="0.25">
      <c r="A15" s="15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f>Tabulka6[[#This Row],[cíl]]-Tabulka6[[#This Row],[start]]</f>
        <v>0</v>
      </c>
      <c r="Q15" s="9"/>
      <c r="R15" s="9">
        <f t="shared" si="0"/>
        <v>0</v>
      </c>
      <c r="S15" s="11"/>
    </row>
    <row r="16" spans="1:19" x14ac:dyDescent="0.25">
      <c r="A16" s="15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>
        <f>Tabulka6[[#This Row],[cíl]]-Tabulka6[[#This Row],[start]]</f>
        <v>0</v>
      </c>
      <c r="Q16" s="9"/>
      <c r="R16" s="9">
        <f t="shared" si="0"/>
        <v>0</v>
      </c>
      <c r="S16" s="11"/>
    </row>
    <row r="17" spans="1:19" x14ac:dyDescent="0.25">
      <c r="A17" s="15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>
        <f>Tabulka6[[#This Row],[cíl]]-Tabulka6[[#This Row],[start]]</f>
        <v>0</v>
      </c>
      <c r="Q17" s="9"/>
      <c r="R17" s="9">
        <f t="shared" si="0"/>
        <v>0</v>
      </c>
      <c r="S17" s="11"/>
    </row>
    <row r="18" spans="1:19" x14ac:dyDescent="0.25">
      <c r="A18" s="15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>
        <f>Tabulka6[[#This Row],[cíl]]-Tabulka6[[#This Row],[start]]</f>
        <v>0</v>
      </c>
      <c r="Q18" s="9"/>
      <c r="R18" s="9">
        <f t="shared" si="0"/>
        <v>0</v>
      </c>
      <c r="S18" s="11"/>
    </row>
    <row r="19" spans="1:19" x14ac:dyDescent="0.25">
      <c r="A19" s="15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11"/>
    </row>
    <row r="20" spans="1:19" x14ac:dyDescent="0.25">
      <c r="A20" s="8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11"/>
    </row>
    <row r="21" spans="1:19" x14ac:dyDescent="0.25">
      <c r="A21" s="6"/>
      <c r="B21" s="6" t="s">
        <v>53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/>
      <c r="R21" s="9"/>
      <c r="S21" s="7"/>
    </row>
    <row r="22" spans="1:19" x14ac:dyDescent="0.25">
      <c r="A22" s="8" t="s">
        <v>0</v>
      </c>
      <c r="B22" s="7" t="s">
        <v>1</v>
      </c>
      <c r="C22" s="7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7</v>
      </c>
      <c r="I22" s="8" t="s">
        <v>19</v>
      </c>
      <c r="J22" s="8" t="s">
        <v>8</v>
      </c>
      <c r="K22" s="8" t="s">
        <v>9</v>
      </c>
      <c r="L22" s="8" t="s">
        <v>10</v>
      </c>
      <c r="M22" s="8" t="s">
        <v>11</v>
      </c>
      <c r="N22" s="9" t="s">
        <v>12</v>
      </c>
      <c r="O22" s="9" t="s">
        <v>13</v>
      </c>
      <c r="P22" s="9" t="s">
        <v>14</v>
      </c>
      <c r="Q22" s="9" t="s">
        <v>15</v>
      </c>
      <c r="R22" s="9" t="s">
        <v>16</v>
      </c>
      <c r="S22" s="7"/>
    </row>
    <row r="23" spans="1:19" ht="15.6" x14ac:dyDescent="0.3">
      <c r="A23" s="15"/>
      <c r="B23" s="23" t="s">
        <v>43</v>
      </c>
      <c r="C23" s="19" t="s">
        <v>67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9">
        <f>VLOOKUP(Tabulka7[[#This Row],[jméno, příjmení, rok narození]],Allv0[[jméno, příjmení, rok narození]:[Vlastní]],3,FALSE)</f>
        <v>2.36111111111111E-2</v>
      </c>
      <c r="P23" s="9">
        <f>Tabulka7[[#This Row],[cíl]]-Tabulka7[[#This Row],[start]]</f>
        <v>-2.36111111111111E-2</v>
      </c>
      <c r="Q23" s="9"/>
      <c r="R23" s="9">
        <f t="shared" ref="R23:R34" si="1">P23+TIME(0,M23,0)-Q23</f>
        <v>-2.36111111111111E-2</v>
      </c>
      <c r="S23" s="10"/>
    </row>
    <row r="24" spans="1:19" ht="14.4" x14ac:dyDescent="0.3">
      <c r="A24" s="15"/>
      <c r="B24" s="19" t="s">
        <v>24</v>
      </c>
      <c r="C24" s="19" t="s">
        <v>66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>
        <f>VLOOKUP(Tabulka7[[#This Row],[jméno, příjmení, rok narození]],Allv0[[jméno, příjmení, rok narození]:[Vlastní]],3,FALSE)</f>
        <v>2.5694444444444402E-2</v>
      </c>
      <c r="P24" s="9">
        <f>Tabulka7[[#This Row],[cíl]]-Tabulka7[[#This Row],[start]]</f>
        <v>-2.5694444444444402E-2</v>
      </c>
      <c r="Q24" s="9"/>
      <c r="R24" s="9">
        <f t="shared" si="1"/>
        <v>-2.5694444444444402E-2</v>
      </c>
      <c r="S24" s="10"/>
    </row>
    <row r="25" spans="1:19" ht="14.4" x14ac:dyDescent="0.3">
      <c r="A25" s="15"/>
      <c r="B25" s="19" t="s">
        <v>26</v>
      </c>
      <c r="C25" s="19" t="s">
        <v>66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9">
        <f>VLOOKUP(Tabulka7[[#This Row],[jméno, příjmení, rok narození]],Allv0[[jméno, příjmení, rok narození]:[Vlastní]],3,FALSE)</f>
        <v>2.77777777777777E-2</v>
      </c>
      <c r="P25" s="9">
        <f>Tabulka7[[#This Row],[cíl]]-Tabulka7[[#This Row],[start]]</f>
        <v>-2.77777777777777E-2</v>
      </c>
      <c r="Q25" s="9"/>
      <c r="R25" s="9">
        <f t="shared" si="1"/>
        <v>-2.77777777777777E-2</v>
      </c>
      <c r="S25" s="7"/>
    </row>
    <row r="26" spans="1:19" x14ac:dyDescent="0.25">
      <c r="A26" s="15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>
        <f>Tabulka7[[#This Row],[cíl]]-Tabulka7[[#This Row],[start]]</f>
        <v>0</v>
      </c>
      <c r="Q26" s="9"/>
      <c r="R26" s="9">
        <f t="shared" si="1"/>
        <v>0</v>
      </c>
      <c r="S26" s="7"/>
    </row>
    <row r="27" spans="1:19" ht="14.4" x14ac:dyDescent="0.3">
      <c r="A27" s="15"/>
      <c r="B27" s="19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>
        <f>Tabulka7[[#This Row],[cíl]]-Tabulka7[[#This Row],[start]]</f>
        <v>0</v>
      </c>
      <c r="Q27" s="9"/>
      <c r="R27" s="9">
        <f t="shared" si="1"/>
        <v>0</v>
      </c>
      <c r="S27" s="7"/>
    </row>
    <row r="28" spans="1:19" x14ac:dyDescent="0.25">
      <c r="A28" s="15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>
        <f>Tabulka7[[#This Row],[cíl]]-Tabulka7[[#This Row],[start]]</f>
        <v>0</v>
      </c>
      <c r="Q28" s="9"/>
      <c r="R28" s="9">
        <f t="shared" si="1"/>
        <v>0</v>
      </c>
      <c r="S28" s="7"/>
    </row>
    <row r="29" spans="1:19" ht="14.4" x14ac:dyDescent="0.3">
      <c r="A29" s="15"/>
      <c r="B29" s="19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9"/>
      <c r="P29" s="9">
        <f>Tabulka7[[#This Row],[cíl]]-Tabulka7[[#This Row],[start]]</f>
        <v>0</v>
      </c>
      <c r="Q29" s="9"/>
      <c r="R29" s="9">
        <f t="shared" si="1"/>
        <v>0</v>
      </c>
      <c r="S29" s="7"/>
    </row>
    <row r="30" spans="1:19" x14ac:dyDescent="0.25">
      <c r="A30" s="15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>
        <f>Tabulka7[[#This Row],[cíl]]-Tabulka7[[#This Row],[start]]</f>
        <v>0</v>
      </c>
      <c r="Q30" s="9"/>
      <c r="R30" s="9">
        <f t="shared" si="1"/>
        <v>0</v>
      </c>
      <c r="S30" s="7"/>
    </row>
    <row r="31" spans="1:19" ht="14.4" x14ac:dyDescent="0.3">
      <c r="A31" s="15"/>
      <c r="B31" s="19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>
        <f>Tabulka7[[#This Row],[cíl]]-Tabulka7[[#This Row],[start]]</f>
        <v>0</v>
      </c>
      <c r="Q31" s="9"/>
      <c r="R31" s="9">
        <f t="shared" si="1"/>
        <v>0</v>
      </c>
      <c r="S31" s="7"/>
    </row>
    <row r="32" spans="1:19" ht="14.4" x14ac:dyDescent="0.3">
      <c r="A32" s="15"/>
      <c r="B32" s="19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>
        <f>Tabulka7[[#This Row],[cíl]]-Tabulka7[[#This Row],[start]]</f>
        <v>0</v>
      </c>
      <c r="Q32" s="9"/>
      <c r="R32" s="9">
        <f t="shared" si="1"/>
        <v>0</v>
      </c>
      <c r="S32" s="7"/>
    </row>
    <row r="33" spans="1:19" x14ac:dyDescent="0.25">
      <c r="A33" s="15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>
        <f>Tabulka7[[#This Row],[cíl]]-Tabulka7[[#This Row],[start]]</f>
        <v>0</v>
      </c>
      <c r="Q33" s="9"/>
      <c r="R33" s="9">
        <f t="shared" si="1"/>
        <v>0</v>
      </c>
      <c r="S33" s="7"/>
    </row>
    <row r="34" spans="1:19" x14ac:dyDescent="0.25">
      <c r="A34" s="15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>
        <f>Tabulka7[[#This Row],[cíl]]-Tabulka7[[#This Row],[start]]</f>
        <v>0</v>
      </c>
      <c r="Q34" s="9"/>
      <c r="R34" s="9">
        <f t="shared" si="1"/>
        <v>0</v>
      </c>
      <c r="S34" s="7"/>
    </row>
    <row r="35" spans="1:19" x14ac:dyDescent="0.25">
      <c r="A35" s="15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9"/>
      <c r="S35" s="7"/>
    </row>
    <row r="36" spans="1:19" ht="15.6" x14ac:dyDescent="0.25">
      <c r="A36" s="8"/>
      <c r="B36" s="13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7"/>
    </row>
    <row r="37" spans="1:19" ht="15.6" x14ac:dyDescent="0.25">
      <c r="A37" s="8"/>
      <c r="B37" s="13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7"/>
    </row>
    <row r="38" spans="1:19" ht="15.6" x14ac:dyDescent="0.25">
      <c r="A38" s="8"/>
      <c r="B38" s="13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7"/>
    </row>
    <row r="39" spans="1:19" ht="15.6" x14ac:dyDescent="0.25">
      <c r="A39" s="8"/>
      <c r="B39" s="13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7"/>
    </row>
    <row r="40" spans="1:19" x14ac:dyDescent="0.25">
      <c r="A40" s="6"/>
      <c r="B40" s="6" t="s">
        <v>54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11"/>
    </row>
    <row r="41" spans="1:19" x14ac:dyDescent="0.25">
      <c r="A41" s="8" t="s">
        <v>0</v>
      </c>
      <c r="B41" s="7" t="s">
        <v>1</v>
      </c>
      <c r="C41" s="7" t="s">
        <v>2</v>
      </c>
      <c r="D41" s="8" t="s">
        <v>3</v>
      </c>
      <c r="E41" s="8" t="s">
        <v>4</v>
      </c>
      <c r="F41" s="8" t="s">
        <v>5</v>
      </c>
      <c r="G41" s="8" t="s">
        <v>6</v>
      </c>
      <c r="H41" s="8" t="s">
        <v>7</v>
      </c>
      <c r="I41" s="8" t="s">
        <v>19</v>
      </c>
      <c r="J41" s="8" t="s">
        <v>8</v>
      </c>
      <c r="K41" s="8" t="s">
        <v>9</v>
      </c>
      <c r="L41" s="8" t="s">
        <v>10</v>
      </c>
      <c r="M41" s="8" t="s">
        <v>11</v>
      </c>
      <c r="N41" s="9" t="s">
        <v>12</v>
      </c>
      <c r="O41" s="9" t="s">
        <v>13</v>
      </c>
      <c r="P41" s="9" t="s">
        <v>14</v>
      </c>
      <c r="Q41" s="9" t="s">
        <v>15</v>
      </c>
      <c r="R41" s="9" t="s">
        <v>16</v>
      </c>
      <c r="S41" s="7"/>
    </row>
    <row r="42" spans="1:19" ht="14.4" x14ac:dyDescent="0.3">
      <c r="A42" s="15"/>
      <c r="B42" t="s">
        <v>44</v>
      </c>
      <c r="C42" s="19" t="s">
        <v>67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>
        <f>VLOOKUP(Tabulka20[[#This Row],[jméno, příjmení, rok narození]],Allv0[[jméno, příjmení, rok narození]:[Vlastní]],3,FALSE)</f>
        <v>6.9444444444444397E-3</v>
      </c>
      <c r="P42" s="9">
        <f>Tabulka20[[#This Row],[cíl]]-Tabulka20[[#This Row],[start]]</f>
        <v>-6.9444444444444397E-3</v>
      </c>
      <c r="Q42" s="9"/>
      <c r="R42" s="9">
        <f>P42+TIME(0,M42,0)-Q42</f>
        <v>-6.9444444444444397E-3</v>
      </c>
      <c r="S42" s="7"/>
    </row>
    <row r="43" spans="1:19" x14ac:dyDescent="0.25">
      <c r="A43" s="15"/>
      <c r="B43" t="s">
        <v>45</v>
      </c>
      <c r="C43" t="s">
        <v>67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 t="e">
        <f>VLOOKUP(Tabulka20[[#This Row],[jméno, příjmení, rok narození]],Allv0[[jméno, příjmení, rok narození]:[Vlastní]],3,FALSE)</f>
        <v>#N/A</v>
      </c>
      <c r="P43" s="9" t="e">
        <f>Tabulka20[[#This Row],[cíl]]-Tabulka20[[#This Row],[start]]</f>
        <v>#N/A</v>
      </c>
      <c r="Q43" s="9"/>
      <c r="R43" s="9" t="e">
        <f>P43+TIME(0,M43,0)-Q43</f>
        <v>#N/A</v>
      </c>
      <c r="S43" s="7"/>
    </row>
    <row r="44" spans="1:19" ht="14.4" x14ac:dyDescent="0.3">
      <c r="A44" s="15"/>
      <c r="B44" s="19" t="s">
        <v>27</v>
      </c>
      <c r="C44" s="19" t="s">
        <v>66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>
        <f>VLOOKUP(Tabulka20[[#This Row],[jméno, příjmení, rok narození]],Allv0[[jméno, příjmení, rok narození]:[Vlastní]],3,FALSE)</f>
        <v>1.2500000000000001E-2</v>
      </c>
      <c r="P44" s="9">
        <f>Tabulka20[[#This Row],[cíl]]-Tabulka20[[#This Row],[start]]</f>
        <v>-1.2500000000000001E-2</v>
      </c>
      <c r="Q44" s="9"/>
      <c r="R44" s="9">
        <f>P44+TIME(0,M44,0)-Q44</f>
        <v>-1.2500000000000001E-2</v>
      </c>
      <c r="S44" s="7"/>
    </row>
    <row r="45" spans="1:19" ht="14.4" x14ac:dyDescent="0.3">
      <c r="A45" s="15"/>
      <c r="B45" s="20" t="s">
        <v>21</v>
      </c>
      <c r="C45" s="19" t="s">
        <v>66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>
        <f>VLOOKUP(Tabulka20[[#This Row],[jméno, příjmení, rok narození]],Allv0[[jméno, příjmení, rok narození]:[Vlastní]],3,FALSE)</f>
        <v>1.4583333333333301E-2</v>
      </c>
      <c r="P45" s="9">
        <f>Tabulka20[[#This Row],[cíl]]-Tabulka20[[#This Row],[start]]</f>
        <v>-1.4583333333333301E-2</v>
      </c>
      <c r="Q45" s="9"/>
      <c r="R45" s="9">
        <f>P45+TIME(0,M45,0)-Q45</f>
        <v>-1.4583333333333301E-2</v>
      </c>
      <c r="S45" s="7"/>
    </row>
    <row r="46" spans="1:19" ht="14.4" x14ac:dyDescent="0.3">
      <c r="A46" s="15"/>
      <c r="B46" t="s">
        <v>23</v>
      </c>
      <c r="C46" s="19" t="s">
        <v>66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>
        <f>VLOOKUP(Tabulka20[[#This Row],[jméno, příjmení, rok narození]],Allv0[[jméno, příjmení, rok narození]:[Vlastní]],3,FALSE)</f>
        <v>1.8749999999999999E-2</v>
      </c>
      <c r="P46" s="9">
        <f>Tabulka20[[#This Row],[cíl]]-Tabulka20[[#This Row],[start]]</f>
        <v>-1.8749999999999999E-2</v>
      </c>
      <c r="Q46" s="9"/>
      <c r="R46" s="9">
        <f>P46+TIME(0,M46,0)-Q46</f>
        <v>-1.8749999999999999E-2</v>
      </c>
      <c r="S46" s="7"/>
    </row>
    <row r="47" spans="1:19" ht="14.4" x14ac:dyDescent="0.3">
      <c r="A47" s="15"/>
      <c r="B47" s="20" t="s">
        <v>35</v>
      </c>
      <c r="C47" s="19" t="s">
        <v>18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9"/>
      <c r="S47" s="7"/>
    </row>
    <row r="48" spans="1:19" ht="14.4" x14ac:dyDescent="0.3">
      <c r="A48" s="15"/>
      <c r="B48" s="20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9"/>
      <c r="S48" s="7"/>
    </row>
    <row r="49" spans="1:19" ht="14.4" x14ac:dyDescent="0.3">
      <c r="A49" s="15"/>
      <c r="B49" s="20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9"/>
      <c r="S49" s="7"/>
    </row>
    <row r="50" spans="1:19" x14ac:dyDescent="0.25">
      <c r="A50" s="8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11"/>
    </row>
    <row r="51" spans="1:19" x14ac:dyDescent="0.25">
      <c r="A51" s="6"/>
      <c r="B51" s="6" t="s">
        <v>55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9"/>
      <c r="S51" s="7"/>
    </row>
    <row r="52" spans="1:19" x14ac:dyDescent="0.25">
      <c r="A52" s="8" t="s">
        <v>0</v>
      </c>
      <c r="B52" s="7" t="s">
        <v>1</v>
      </c>
      <c r="C52" s="7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7</v>
      </c>
      <c r="I52" s="8" t="s">
        <v>19</v>
      </c>
      <c r="J52" s="8" t="s">
        <v>8</v>
      </c>
      <c r="K52" s="8" t="s">
        <v>9</v>
      </c>
      <c r="L52" s="8" t="s">
        <v>10</v>
      </c>
      <c r="M52" s="8" t="s">
        <v>11</v>
      </c>
      <c r="N52" s="9" t="s">
        <v>12</v>
      </c>
      <c r="O52" s="9" t="s">
        <v>13</v>
      </c>
      <c r="P52" s="9" t="s">
        <v>14</v>
      </c>
      <c r="Q52" s="9" t="s">
        <v>15</v>
      </c>
      <c r="R52" s="9" t="s">
        <v>16</v>
      </c>
      <c r="S52" s="7"/>
    </row>
    <row r="53" spans="1:19" ht="14.4" x14ac:dyDescent="0.3">
      <c r="A53" s="15"/>
      <c r="B53" s="19" t="s">
        <v>72</v>
      </c>
      <c r="C53" s="19" t="s">
        <v>66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>
        <f>VLOOKUP(Tabulka8[[#This Row],[jméno, příjmení, rok narození]],Allv0[[jméno, příjmení, rok narození]:[Vlastní]],3,FALSE)</f>
        <v>2.9861111111111099E-2</v>
      </c>
      <c r="P53" s="9">
        <f>Tabulka8[[#This Row],[cíl]]-Tabulka8[[#This Row],[start]]</f>
        <v>-2.9861111111111099E-2</v>
      </c>
      <c r="Q53" s="9"/>
      <c r="R53" s="9">
        <f t="shared" ref="R53:R58" si="2">P53+TIME(0,M53,0)-Q53</f>
        <v>-2.9861111111111099E-2</v>
      </c>
      <c r="S53" s="8"/>
    </row>
    <row r="54" spans="1:19" ht="14.4" x14ac:dyDescent="0.3">
      <c r="A54" s="15"/>
      <c r="B54" s="19" t="s">
        <v>25</v>
      </c>
      <c r="C54" s="19" t="s">
        <v>66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>
        <f>VLOOKUP(Tabulka8[[#This Row],[jméno, příjmení, rok narození]],Allv0[[jméno, příjmení, rok narození]:[Vlastní]],3,FALSE)</f>
        <v>3.2638888888888801E-2</v>
      </c>
      <c r="P54" s="9">
        <f>Tabulka8[[#This Row],[cíl]]-Tabulka8[[#This Row],[start]]</f>
        <v>-3.2638888888888801E-2</v>
      </c>
      <c r="Q54" s="9"/>
      <c r="R54" s="9">
        <f t="shared" si="2"/>
        <v>-3.2638888888888801E-2</v>
      </c>
      <c r="S54" s="11"/>
    </row>
    <row r="55" spans="1:19" ht="14.4" x14ac:dyDescent="0.3">
      <c r="A55" s="15"/>
      <c r="B55" s="19" t="s">
        <v>48</v>
      </c>
      <c r="C55" s="19" t="s">
        <v>66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>
        <f>VLOOKUP(Tabulka8[[#This Row],[jméno, příjmení, rok narození]],Allv0[[jméno, příjmení, rok narození]:[Vlastní]],3,FALSE)</f>
        <v>3.4027777777777699E-2</v>
      </c>
      <c r="P55" s="9">
        <f>Tabulka8[[#This Row],[cíl]]-Tabulka8[[#This Row],[start]]</f>
        <v>-3.4027777777777699E-2</v>
      </c>
      <c r="Q55" s="9"/>
      <c r="R55" s="9">
        <f t="shared" si="2"/>
        <v>-3.4027777777777699E-2</v>
      </c>
      <c r="S55" s="11"/>
    </row>
    <row r="56" spans="1:19" x14ac:dyDescent="0.25">
      <c r="A56" s="15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>
        <f>Tabulka8[[#This Row],[cíl]]-Tabulka8[[#This Row],[start]]</f>
        <v>0</v>
      </c>
      <c r="Q56" s="9"/>
      <c r="R56" s="9">
        <f t="shared" si="2"/>
        <v>0</v>
      </c>
      <c r="S56" s="11"/>
    </row>
    <row r="57" spans="1:19" ht="14.4" x14ac:dyDescent="0.3">
      <c r="A57" s="15"/>
      <c r="B57" s="19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>
        <f>Tabulka8[[#This Row],[cíl]]-Tabulka8[[#This Row],[start]]</f>
        <v>0</v>
      </c>
      <c r="Q57" s="9"/>
      <c r="R57" s="9">
        <f t="shared" si="2"/>
        <v>0</v>
      </c>
      <c r="S57" s="11"/>
    </row>
    <row r="58" spans="1:19" ht="14.4" x14ac:dyDescent="0.3">
      <c r="A58" s="15"/>
      <c r="B58" s="19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>
        <f>Tabulka8[[#This Row],[cíl]]-Tabulka8[[#This Row],[start]]</f>
        <v>0</v>
      </c>
      <c r="Q58" s="9"/>
      <c r="R58" s="9">
        <f t="shared" si="2"/>
        <v>0</v>
      </c>
      <c r="S58" s="11"/>
    </row>
    <row r="59" spans="1:19" ht="14.4" x14ac:dyDescent="0.3">
      <c r="A59" s="15"/>
      <c r="B59" s="19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11"/>
    </row>
    <row r="60" spans="1:19" x14ac:dyDescent="0.25">
      <c r="A60" s="15"/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9"/>
      <c r="R60" s="9"/>
      <c r="S60" s="11"/>
    </row>
    <row r="61" spans="1:19" x14ac:dyDescent="0.25">
      <c r="A61" s="8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11"/>
    </row>
    <row r="62" spans="1:19" x14ac:dyDescent="0.25">
      <c r="A62" s="6"/>
      <c r="B62" s="6" t="s">
        <v>56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11"/>
    </row>
    <row r="63" spans="1:19" x14ac:dyDescent="0.25">
      <c r="A63" s="8" t="s">
        <v>0</v>
      </c>
      <c r="B63" s="7" t="s">
        <v>1</v>
      </c>
      <c r="C63" s="7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19</v>
      </c>
      <c r="J63" s="8" t="s">
        <v>8</v>
      </c>
      <c r="K63" s="8" t="s">
        <v>9</v>
      </c>
      <c r="L63" s="8" t="s">
        <v>10</v>
      </c>
      <c r="M63" s="8" t="s">
        <v>11</v>
      </c>
      <c r="N63" s="9" t="s">
        <v>12</v>
      </c>
      <c r="O63" s="9" t="s">
        <v>13</v>
      </c>
      <c r="P63" s="9" t="s">
        <v>14</v>
      </c>
      <c r="Q63" s="9" t="s">
        <v>15</v>
      </c>
      <c r="R63" s="9" t="s">
        <v>16</v>
      </c>
      <c r="S63" s="7"/>
    </row>
    <row r="64" spans="1:19" ht="14.4" x14ac:dyDescent="0.3">
      <c r="A64" s="15"/>
      <c r="B64" s="19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>
        <f>Tabulka9[[#This Row],[cíl]]-Tabulka9[[#This Row],[start]]</f>
        <v>0</v>
      </c>
      <c r="Q64" s="9"/>
      <c r="R64" s="9">
        <f>P64+TIME(0,M64,0)-Q64</f>
        <v>0</v>
      </c>
      <c r="S64" s="7"/>
    </row>
    <row r="65" spans="1:19" x14ac:dyDescent="0.25">
      <c r="A65" s="15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>
        <f>Tabulka9[[#This Row],[cíl]]-Tabulka9[[#This Row],[start]]</f>
        <v>0</v>
      </c>
      <c r="Q65" s="9"/>
      <c r="R65" s="9">
        <f>P65+TIME(0,M65,0)-Q65</f>
        <v>0</v>
      </c>
      <c r="S65" s="7"/>
    </row>
    <row r="66" spans="1:19" ht="14.4" x14ac:dyDescent="0.3">
      <c r="A66" s="15"/>
      <c r="B66" s="19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>
        <f>Tabulka9[[#This Row],[cíl]]-Tabulka9[[#This Row],[start]]</f>
        <v>0</v>
      </c>
      <c r="Q66" s="9"/>
      <c r="R66" s="9">
        <f>P66+TIME(0,M66,0)-Q66</f>
        <v>0</v>
      </c>
      <c r="S66" s="7"/>
    </row>
    <row r="67" spans="1:19" ht="14.4" x14ac:dyDescent="0.3">
      <c r="A67" s="15"/>
      <c r="B67" s="19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7"/>
    </row>
    <row r="68" spans="1:19" ht="14.4" x14ac:dyDescent="0.3">
      <c r="A68" s="15"/>
      <c r="B68" s="19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7"/>
    </row>
    <row r="69" spans="1:19" ht="14.4" x14ac:dyDescent="0.3">
      <c r="A69" s="15"/>
      <c r="B69" s="19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9"/>
      <c r="S69" s="7"/>
    </row>
    <row r="70" spans="1:19" x14ac:dyDescent="0.25">
      <c r="A70" s="15"/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9"/>
      <c r="S70" s="7"/>
    </row>
    <row r="71" spans="1:19" x14ac:dyDescent="0.25">
      <c r="A71" s="8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9"/>
      <c r="S71" s="11"/>
    </row>
    <row r="72" spans="1:19" x14ac:dyDescent="0.25">
      <c r="A72"/>
      <c r="B72" s="17" t="s">
        <v>57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 s="11"/>
    </row>
    <row r="73" spans="1:19" x14ac:dyDescent="0.25">
      <c r="A73" s="16" t="s">
        <v>0</v>
      </c>
      <c r="B73" t="s">
        <v>1</v>
      </c>
      <c r="C73" t="s">
        <v>2</v>
      </c>
      <c r="D73" t="s">
        <v>3</v>
      </c>
      <c r="E73" t="s">
        <v>4</v>
      </c>
      <c r="F73" t="s">
        <v>5</v>
      </c>
      <c r="G73" t="s">
        <v>6</v>
      </c>
      <c r="H73" t="s">
        <v>7</v>
      </c>
      <c r="I73" t="s">
        <v>19</v>
      </c>
      <c r="J73" t="s">
        <v>8</v>
      </c>
      <c r="K73" t="s">
        <v>9</v>
      </c>
      <c r="L73" t="s">
        <v>10</v>
      </c>
      <c r="M73" t="s">
        <v>11</v>
      </c>
      <c r="N73" t="s">
        <v>12</v>
      </c>
      <c r="O73" t="s">
        <v>13</v>
      </c>
      <c r="P73" t="s">
        <v>14</v>
      </c>
      <c r="Q73" t="s">
        <v>15</v>
      </c>
      <c r="R73" t="s">
        <v>16</v>
      </c>
      <c r="S73" s="11"/>
    </row>
    <row r="74" spans="1:19" x14ac:dyDescent="0.25">
      <c r="A74" s="18"/>
      <c r="B74" t="s">
        <v>51</v>
      </c>
      <c r="C74" t="s">
        <v>67</v>
      </c>
      <c r="D74"/>
      <c r="E74"/>
      <c r="F74"/>
      <c r="G74"/>
      <c r="H74"/>
      <c r="I74"/>
      <c r="J74"/>
      <c r="K74"/>
      <c r="L74"/>
      <c r="M74"/>
      <c r="N74" s="9"/>
      <c r="O74" s="9">
        <f>VLOOKUP(Tabulka19[[#This Row],[jméno, příjmení, rok narození]],Allv0[[jméno, příjmení, rok narození]:[Vlastní]],3,FALSE)</f>
        <v>1.0416666666666701E-2</v>
      </c>
      <c r="P74" s="9">
        <f>Tabulka19[[#This Row],[cíl]]-Tabulka19[[#This Row],[start]]</f>
        <v>-1.0416666666666701E-2</v>
      </c>
      <c r="Q74"/>
      <c r="R74" s="9">
        <f>P74+TIME(0,M74,0)-Q74</f>
        <v>-1.0416666666666701E-2</v>
      </c>
      <c r="S74" s="11"/>
    </row>
    <row r="75" spans="1:19" ht="14.4" x14ac:dyDescent="0.3">
      <c r="A75" s="18"/>
      <c r="B75" s="19" t="s">
        <v>30</v>
      </c>
      <c r="C75" s="19" t="s">
        <v>66</v>
      </c>
      <c r="D75"/>
      <c r="E75"/>
      <c r="F75"/>
      <c r="G75"/>
      <c r="H75"/>
      <c r="I75"/>
      <c r="J75"/>
      <c r="K75"/>
      <c r="L75"/>
      <c r="M75"/>
      <c r="N75" s="9"/>
      <c r="O75" s="9">
        <f>VLOOKUP(Tabulka19[[#This Row],[jméno, příjmení, rok narození]],Allv0[[jméno, příjmení, rok narození]:[Vlastní]],3,FALSE)</f>
        <v>2.0833333333333301E-2</v>
      </c>
      <c r="P75" s="9">
        <f>Tabulka19[[#This Row],[cíl]]-Tabulka19[[#This Row],[start]]</f>
        <v>-2.0833333333333301E-2</v>
      </c>
      <c r="Q75"/>
      <c r="R75" s="9">
        <f>P75+TIME(0,M75,0)-Q75</f>
        <v>-2.0833333333333301E-2</v>
      </c>
      <c r="S75" s="11"/>
    </row>
    <row r="76" spans="1:19" ht="14.4" x14ac:dyDescent="0.3">
      <c r="A76" s="18"/>
      <c r="B76" s="19" t="s">
        <v>28</v>
      </c>
      <c r="C76" s="19" t="s">
        <v>66</v>
      </c>
      <c r="D76"/>
      <c r="E76"/>
      <c r="F76"/>
      <c r="G76"/>
      <c r="H76"/>
      <c r="I76"/>
      <c r="J76"/>
      <c r="K76"/>
      <c r="L76"/>
      <c r="M76"/>
      <c r="N76" s="9"/>
      <c r="O76" s="9">
        <f>VLOOKUP(Tabulka19[[#This Row],[jméno, příjmení, rok narození]],Allv0[[jméno, příjmení, rok narození]:[Vlastní]],3,FALSE)</f>
        <v>3.125E-2</v>
      </c>
      <c r="P76" s="9">
        <f>Tabulka19[[#This Row],[cíl]]-Tabulka19[[#This Row],[start]]</f>
        <v>-3.125E-2</v>
      </c>
      <c r="Q76" s="22"/>
      <c r="R76" s="9">
        <f>P76+TIME(0,M76,0)-Q76</f>
        <v>-3.125E-2</v>
      </c>
      <c r="S76" s="11"/>
    </row>
    <row r="77" spans="1:19" ht="14.4" x14ac:dyDescent="0.3">
      <c r="A77" s="18"/>
      <c r="B77" s="19" t="s">
        <v>73</v>
      </c>
      <c r="C77" s="19" t="s">
        <v>66</v>
      </c>
      <c r="D77"/>
      <c r="E77"/>
      <c r="F77"/>
      <c r="G77"/>
      <c r="H77"/>
      <c r="I77"/>
      <c r="J77"/>
      <c r="K77"/>
      <c r="L77"/>
      <c r="M77"/>
      <c r="N77" s="9"/>
      <c r="O77" s="9">
        <f>VLOOKUP(Tabulka19[[#This Row],[jméno, příjmení, rok narození]],Allv0[[jméno, příjmení, rok narození]:[Vlastní]],3,FALSE)</f>
        <v>3.5416666666666603E-2</v>
      </c>
      <c r="P77" s="9">
        <f>Tabulka19[[#This Row],[cíl]]-Tabulka19[[#This Row],[start]]</f>
        <v>-3.5416666666666603E-2</v>
      </c>
      <c r="Q77" s="22"/>
      <c r="R77" s="9">
        <f>P77+TIME(0,M77,0)-Q77</f>
        <v>-3.5416666666666603E-2</v>
      </c>
      <c r="S77" s="11"/>
    </row>
    <row r="78" spans="1:19" x14ac:dyDescent="0.25">
      <c r="A78" s="18"/>
      <c r="B78" t="s">
        <v>47</v>
      </c>
      <c r="C78" t="s">
        <v>18</v>
      </c>
      <c r="D78"/>
      <c r="E78"/>
      <c r="F78"/>
      <c r="G78"/>
      <c r="H78"/>
      <c r="I78"/>
      <c r="J78"/>
      <c r="K78"/>
      <c r="L78"/>
      <c r="M78"/>
      <c r="N78" s="9"/>
      <c r="O78" s="9">
        <f>VLOOKUP(Tabulka19[[#This Row],[jméno, příjmení, rok narození]],Allv0[[jméno, příjmení, rok narození]:[Vlastní]],3,FALSE)</f>
        <v>4.1666666666666597E-3</v>
      </c>
      <c r="P78" s="9">
        <f>Tabulka19[[#This Row],[cíl]]-Tabulka19[[#This Row],[start]]</f>
        <v>-4.1666666666666597E-3</v>
      </c>
      <c r="Q78"/>
      <c r="R78" s="9">
        <f>P78+TIME(0,M78,0)-Q78</f>
        <v>-4.1666666666666597E-3</v>
      </c>
      <c r="S78" s="11"/>
    </row>
    <row r="79" spans="1:19" ht="14.4" x14ac:dyDescent="0.3">
      <c r="A79" s="18"/>
      <c r="B79" s="19"/>
      <c r="C79" s="19"/>
      <c r="D79"/>
      <c r="E79"/>
      <c r="F79"/>
      <c r="G79"/>
      <c r="H79"/>
      <c r="I79"/>
      <c r="J79"/>
      <c r="K79"/>
      <c r="L79"/>
      <c r="M79"/>
      <c r="N79" s="9"/>
      <c r="O79" s="9"/>
      <c r="P79" s="9"/>
      <c r="Q79"/>
      <c r="R79" s="9"/>
      <c r="S79" s="11"/>
    </row>
    <row r="80" spans="1:19" ht="14.4" x14ac:dyDescent="0.3">
      <c r="A80" s="18"/>
      <c r="B80" s="19"/>
      <c r="C80" s="19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/>
      <c r="R80" s="9"/>
      <c r="S80" s="11"/>
    </row>
    <row r="81" spans="1:19" x14ac:dyDescent="0.25">
      <c r="A81" s="8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/>
      <c r="R81" s="9"/>
      <c r="S81" s="8"/>
    </row>
    <row r="82" spans="1:19" x14ac:dyDescent="0.25">
      <c r="A82" s="6"/>
      <c r="B82" s="6" t="s">
        <v>58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9"/>
      <c r="R82" s="9"/>
      <c r="S82" s="8"/>
    </row>
    <row r="83" spans="1:19" x14ac:dyDescent="0.25">
      <c r="A83" s="8" t="s">
        <v>0</v>
      </c>
      <c r="B83" s="7" t="s">
        <v>1</v>
      </c>
      <c r="C83" s="7" t="s">
        <v>2</v>
      </c>
      <c r="D83" s="8" t="s">
        <v>3</v>
      </c>
      <c r="E83" s="8" t="s">
        <v>4</v>
      </c>
      <c r="F83" s="8" t="s">
        <v>5</v>
      </c>
      <c r="G83" s="8" t="s">
        <v>6</v>
      </c>
      <c r="H83" s="8" t="s">
        <v>7</v>
      </c>
      <c r="I83" s="8" t="s">
        <v>19</v>
      </c>
      <c r="J83" s="8" t="s">
        <v>8</v>
      </c>
      <c r="K83" s="8" t="s">
        <v>9</v>
      </c>
      <c r="L83" s="8" t="s">
        <v>10</v>
      </c>
      <c r="M83" s="8" t="s">
        <v>11</v>
      </c>
      <c r="N83" s="9" t="s">
        <v>12</v>
      </c>
      <c r="O83" s="9" t="s">
        <v>13</v>
      </c>
      <c r="P83" s="9" t="s">
        <v>14</v>
      </c>
      <c r="Q83" s="9" t="s">
        <v>15</v>
      </c>
      <c r="R83" s="9" t="s">
        <v>16</v>
      </c>
      <c r="S83" s="8"/>
    </row>
    <row r="84" spans="1:19" ht="14.4" x14ac:dyDescent="0.3">
      <c r="A84" s="15"/>
      <c r="B84" s="20" t="s">
        <v>94</v>
      </c>
      <c r="C84" s="19" t="s">
        <v>67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9"/>
      <c r="O84" s="9" t="e">
        <f>VLOOKUP(Tabulka11[[#This Row],[jméno, příjmení, rok narození]],Allv0[[jméno, příjmení, rok narození]:[Vlastní]],3,FALSE)</f>
        <v>#N/A</v>
      </c>
      <c r="P84" s="9" t="e">
        <f>Tabulka11[[#This Row],[cíl]]-Tabulka11[[#This Row],[start]]</f>
        <v>#N/A</v>
      </c>
      <c r="Q84" s="9"/>
      <c r="R84" s="9" t="e">
        <f>P84+TIME(0,M84,0)-Q84</f>
        <v>#N/A</v>
      </c>
      <c r="S84" s="8"/>
    </row>
    <row r="85" spans="1:19" ht="14.4" x14ac:dyDescent="0.3">
      <c r="A85" s="15"/>
      <c r="B85" s="20" t="s">
        <v>29</v>
      </c>
      <c r="C85" s="19" t="s">
        <v>66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9">
        <f>VLOOKUP(Tabulka11[[#This Row],[jméno, příjmení, rok narození]],Allv0[[jméno, příjmení, rok narození]:[Vlastní]],3,FALSE)</f>
        <v>1.6666666666666601E-2</v>
      </c>
      <c r="P85" s="9">
        <f>Tabulka11[[#This Row],[cíl]]-Tabulka11[[#This Row],[start]]</f>
        <v>-1.6666666666666601E-2</v>
      </c>
      <c r="Q85" s="9"/>
      <c r="R85" s="9">
        <f>P85+TIME(0,M85,0)-Q85</f>
        <v>-1.6666666666666601E-2</v>
      </c>
      <c r="S85" s="8"/>
    </row>
    <row r="86" spans="1:19" ht="14.4" x14ac:dyDescent="0.3">
      <c r="A86" s="15"/>
      <c r="B86" s="20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9"/>
      <c r="P86" s="9"/>
      <c r="Q86" s="9"/>
      <c r="R86" s="9"/>
      <c r="S86" s="8"/>
    </row>
    <row r="87" spans="1:19" ht="14.4" x14ac:dyDescent="0.3">
      <c r="A87" s="15"/>
      <c r="B87" s="20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9"/>
      <c r="R87" s="9"/>
      <c r="S87" s="8"/>
    </row>
    <row r="88" spans="1:19" ht="14.4" x14ac:dyDescent="0.3">
      <c r="A88" s="8"/>
      <c r="B88" s="20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8"/>
    </row>
    <row r="89" spans="1:19" ht="14.4" x14ac:dyDescent="0.3">
      <c r="A89" s="8"/>
      <c r="B89" s="20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9"/>
      <c r="R89" s="9"/>
      <c r="S89" s="8"/>
    </row>
    <row r="90" spans="1:19" ht="14.4" x14ac:dyDescent="0.3">
      <c r="A90" s="8"/>
      <c r="B90" s="20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9"/>
      <c r="R90" s="9"/>
      <c r="S90" s="8"/>
    </row>
    <row r="91" spans="1:19" x14ac:dyDescent="0.25">
      <c r="A91" s="6"/>
      <c r="B91" s="6" t="s">
        <v>59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9"/>
      <c r="O91" s="9"/>
      <c r="P91" s="9"/>
      <c r="Q91" s="9"/>
      <c r="R91" s="9"/>
      <c r="S91" s="7"/>
    </row>
    <row r="92" spans="1:19" x14ac:dyDescent="0.25">
      <c r="A92" s="8" t="s">
        <v>0</v>
      </c>
      <c r="B92" s="7" t="s">
        <v>1</v>
      </c>
      <c r="C92" s="7" t="s">
        <v>2</v>
      </c>
      <c r="D92" s="8" t="s">
        <v>3</v>
      </c>
      <c r="E92" s="8" t="s">
        <v>4</v>
      </c>
      <c r="F92" s="8" t="s">
        <v>5</v>
      </c>
      <c r="G92" s="8" t="s">
        <v>6</v>
      </c>
      <c r="H92" s="8" t="s">
        <v>7</v>
      </c>
      <c r="I92" s="8" t="s">
        <v>19</v>
      </c>
      <c r="J92" s="8" t="s">
        <v>8</v>
      </c>
      <c r="K92" s="8" t="s">
        <v>9</v>
      </c>
      <c r="L92" s="8" t="s">
        <v>10</v>
      </c>
      <c r="M92" s="8" t="s">
        <v>11</v>
      </c>
      <c r="N92" s="9" t="s">
        <v>12</v>
      </c>
      <c r="O92" s="9" t="s">
        <v>13</v>
      </c>
      <c r="P92" s="9" t="s">
        <v>14</v>
      </c>
      <c r="Q92" s="9" t="s">
        <v>15</v>
      </c>
      <c r="R92" s="9" t="s">
        <v>16</v>
      </c>
      <c r="S92" s="7"/>
    </row>
    <row r="93" spans="1:19" ht="14.4" x14ac:dyDescent="0.3">
      <c r="A93" s="15"/>
      <c r="B93" s="19" t="s">
        <v>46</v>
      </c>
      <c r="C93" s="19" t="s">
        <v>67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9"/>
      <c r="O93" s="9">
        <f>VLOOKUP(Tabulka10[[#This Row],[jméno, příjmení, rok narození]],Allv0[[jméno, příjmení, rok narození]:[Vlastní]],3,FALSE)</f>
        <v>3.4722222222222203E-2</v>
      </c>
      <c r="P93" s="9">
        <f>Tabulka10[[#This Row],[cíl]]-Tabulka10[[#This Row],[start]]</f>
        <v>-3.4722222222222203E-2</v>
      </c>
      <c r="Q93" s="9"/>
      <c r="R93" s="9">
        <f t="shared" ref="R93:R98" si="3">P93+TIME(0,M93,0)-Q93</f>
        <v>-3.4722222222222203E-2</v>
      </c>
      <c r="S93" s="7"/>
    </row>
    <row r="94" spans="1:19" x14ac:dyDescent="0.25">
      <c r="A94" s="15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9"/>
      <c r="O94" s="9"/>
      <c r="P94" s="9">
        <f>Tabulka10[[#This Row],[cíl]]-Tabulka10[[#This Row],[start]]</f>
        <v>0</v>
      </c>
      <c r="Q94" s="9"/>
      <c r="R94" s="9">
        <f t="shared" si="3"/>
        <v>0</v>
      </c>
      <c r="S94" s="7"/>
    </row>
    <row r="95" spans="1:19" ht="14.4" x14ac:dyDescent="0.3">
      <c r="A95" s="15"/>
      <c r="B95" s="19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>
        <f>Tabulka10[[#This Row],[cíl]]-Tabulka10[[#This Row],[start]]</f>
        <v>0</v>
      </c>
      <c r="Q95" s="9"/>
      <c r="R95" s="9">
        <f t="shared" si="3"/>
        <v>0</v>
      </c>
      <c r="S95" s="7"/>
    </row>
    <row r="96" spans="1:19" x14ac:dyDescent="0.25">
      <c r="A96" s="15"/>
      <c r="B96" s="7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9"/>
      <c r="P96" s="9">
        <f>Tabulka10[[#This Row],[cíl]]-Tabulka10[[#This Row],[start]]</f>
        <v>0</v>
      </c>
      <c r="Q96" s="9"/>
      <c r="R96" s="9">
        <f t="shared" si="3"/>
        <v>0</v>
      </c>
      <c r="S96" s="7"/>
    </row>
    <row r="97" spans="1:19" ht="14.4" x14ac:dyDescent="0.3">
      <c r="A97" s="15"/>
      <c r="B97" s="20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>
        <f>Tabulka10[[#This Row],[cíl]]-Tabulka10[[#This Row],[start]]</f>
        <v>0</v>
      </c>
      <c r="Q97" s="9"/>
      <c r="R97" s="9">
        <f t="shared" si="3"/>
        <v>0</v>
      </c>
      <c r="S97" s="7"/>
    </row>
    <row r="98" spans="1:19" ht="14.4" x14ac:dyDescent="0.3">
      <c r="A98" s="15"/>
      <c r="B98" s="19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>
        <f>Tabulka10[[#This Row],[cíl]]-Tabulka10[[#This Row],[start]]</f>
        <v>0</v>
      </c>
      <c r="Q98" s="9"/>
      <c r="R98" s="9">
        <f t="shared" si="3"/>
        <v>0</v>
      </c>
      <c r="S98" s="7"/>
    </row>
    <row r="99" spans="1:19" x14ac:dyDescent="0.25">
      <c r="A99" s="15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9"/>
      <c r="O99" s="9"/>
      <c r="P99" s="9"/>
      <c r="Q99" s="9"/>
      <c r="R99" s="9"/>
      <c r="S99" s="7"/>
    </row>
    <row r="100" spans="1:19" x14ac:dyDescent="0.25">
      <c r="A100" s="15"/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9"/>
      <c r="R100" s="9"/>
      <c r="S100" s="7"/>
    </row>
    <row r="101" spans="1:19" x14ac:dyDescent="0.25">
      <c r="A101" s="8"/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/>
      <c r="O101" s="9"/>
      <c r="P101" s="9"/>
      <c r="Q101" s="9"/>
      <c r="R101" s="9"/>
      <c r="S101" s="7"/>
    </row>
    <row r="102" spans="1:19" x14ac:dyDescent="0.25">
      <c r="S102" s="7"/>
    </row>
    <row r="103" spans="1:19" x14ac:dyDescent="0.25">
      <c r="S103" s="7"/>
    </row>
    <row r="104" spans="1:19" x14ac:dyDescent="0.25">
      <c r="S104" s="7"/>
    </row>
    <row r="105" spans="1:19" x14ac:dyDescent="0.25">
      <c r="S105" s="7"/>
    </row>
    <row r="106" spans="1:19" x14ac:dyDescent="0.25">
      <c r="S106" s="7"/>
    </row>
    <row r="107" spans="1:19" x14ac:dyDescent="0.25">
      <c r="S107" s="7"/>
    </row>
    <row r="108" spans="1:19" x14ac:dyDescent="0.25">
      <c r="A108" s="8"/>
      <c r="B108" s="7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7"/>
    </row>
    <row r="109" spans="1:19" x14ac:dyDescent="0.25">
      <c r="A109" s="6"/>
      <c r="B109" s="6" t="s">
        <v>60</v>
      </c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7"/>
    </row>
    <row r="110" spans="1:19" x14ac:dyDescent="0.25">
      <c r="A110" s="8" t="s">
        <v>0</v>
      </c>
      <c r="B110" s="7" t="s">
        <v>1</v>
      </c>
      <c r="C110" s="7" t="s">
        <v>2</v>
      </c>
      <c r="D110" s="8" t="s">
        <v>3</v>
      </c>
      <c r="E110" s="8" t="s">
        <v>4</v>
      </c>
      <c r="F110" s="8" t="s">
        <v>5</v>
      </c>
      <c r="G110" s="8" t="s">
        <v>6</v>
      </c>
      <c r="H110" s="8" t="s">
        <v>7</v>
      </c>
      <c r="I110" s="8" t="s">
        <v>19</v>
      </c>
      <c r="J110" s="8" t="s">
        <v>8</v>
      </c>
      <c r="K110" s="8" t="s">
        <v>9</v>
      </c>
      <c r="L110" s="8" t="s">
        <v>10</v>
      </c>
      <c r="M110" s="8" t="s">
        <v>11</v>
      </c>
      <c r="N110" s="9" t="s">
        <v>12</v>
      </c>
      <c r="O110" s="9" t="s">
        <v>13</v>
      </c>
      <c r="P110" s="9" t="s">
        <v>14</v>
      </c>
      <c r="Q110" s="9" t="s">
        <v>15</v>
      </c>
      <c r="R110" s="9" t="s">
        <v>16</v>
      </c>
      <c r="S110" s="7"/>
    </row>
    <row r="111" spans="1:19" ht="14.4" x14ac:dyDescent="0.3">
      <c r="A111" s="15"/>
      <c r="B111" t="s">
        <v>74</v>
      </c>
      <c r="C111" s="19" t="s">
        <v>66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  <c r="O111" s="9">
        <f>VLOOKUP(Tabulka12[[#This Row],[jméno, příjmení, rok narození]],Allv0[[jméno, příjmení, rok narození]:[Vlastní]],3,FALSE)</f>
        <v>1.18055555555555E-2</v>
      </c>
      <c r="P111" s="9">
        <f>Tabulka12[[#This Row],[cíl]]-Tabulka12[[#This Row],[start]]</f>
        <v>-1.18055555555555E-2</v>
      </c>
      <c r="Q111" s="9"/>
      <c r="R111" s="9">
        <f t="shared" ref="R111" si="4">P111+TIME(0,M111,0)-Q111</f>
        <v>-1.18055555555555E-2</v>
      </c>
      <c r="S111" s="7"/>
    </row>
    <row r="112" spans="1:19" ht="14.4" x14ac:dyDescent="0.3">
      <c r="A112" s="15"/>
      <c r="B112" t="s">
        <v>93</v>
      </c>
      <c r="C112" s="19" t="s">
        <v>18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9">
        <f>VLOOKUP(Tabulka12[[#This Row],[jméno, příjmení, rok narození]],Allv0[[jméno, příjmení, rok narození]:[Vlastní]],3,FALSE)</f>
        <v>2.7777777777777701E-3</v>
      </c>
      <c r="P112" s="9"/>
      <c r="Q112" s="9"/>
      <c r="R112" s="9"/>
      <c r="S112" s="7"/>
    </row>
    <row r="113" spans="1:19" ht="14.4" x14ac:dyDescent="0.3">
      <c r="A113" s="15"/>
      <c r="B113" t="s">
        <v>36</v>
      </c>
      <c r="C113" s="19" t="s">
        <v>18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  <c r="O113" s="9">
        <f>VLOOKUP(Tabulka12[[#This Row],[jméno, příjmení, rok narození]],Allv0[[jméno, příjmení, rok narození]:[Vlastní]],3,FALSE)</f>
        <v>5.5555555555555497E-3</v>
      </c>
      <c r="P113" s="9"/>
      <c r="Q113" s="9"/>
      <c r="R113" s="9"/>
      <c r="S113" s="11"/>
    </row>
    <row r="114" spans="1:19" ht="14.4" x14ac:dyDescent="0.3">
      <c r="A114" s="15"/>
      <c r="B114" t="s">
        <v>38</v>
      </c>
      <c r="C114" s="19" t="s">
        <v>18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  <c r="O114" s="9">
        <f>VLOOKUP(Tabulka12[[#This Row],[jméno, příjmení, rok narození]],Allv0[[jméno, příjmení, rok narození]:[Vlastní]],3,FALSE)</f>
        <v>3.7499999999999999E-2</v>
      </c>
      <c r="P114" s="9"/>
      <c r="Q114" s="9"/>
      <c r="R114" s="9"/>
      <c r="S114" s="7"/>
    </row>
    <row r="115" spans="1:19" ht="14.4" x14ac:dyDescent="0.3">
      <c r="A115" s="15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9"/>
      <c r="O115" s="9"/>
      <c r="P115" s="9"/>
      <c r="Q115" s="9"/>
      <c r="R115" s="9"/>
      <c r="S115" s="11"/>
    </row>
    <row r="116" spans="1:19" ht="14.4" x14ac:dyDescent="0.3">
      <c r="A116" s="21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9"/>
      <c r="O116" s="9"/>
      <c r="P116" s="9"/>
      <c r="Q116" s="9"/>
      <c r="R116" s="9"/>
      <c r="S116" s="11"/>
    </row>
    <row r="117" spans="1:19" x14ac:dyDescent="0.25">
      <c r="A117" s="6"/>
      <c r="B117" s="6" t="s">
        <v>61</v>
      </c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8"/>
    </row>
    <row r="118" spans="1:19" x14ac:dyDescent="0.25">
      <c r="A118" s="8" t="s">
        <v>0</v>
      </c>
      <c r="B118" s="7" t="s">
        <v>1</v>
      </c>
      <c r="C118" s="7" t="s">
        <v>2</v>
      </c>
      <c r="D118" s="8" t="s">
        <v>3</v>
      </c>
      <c r="E118" s="8" t="s">
        <v>4</v>
      </c>
      <c r="F118" s="8" t="s">
        <v>5</v>
      </c>
      <c r="G118" s="8" t="s">
        <v>6</v>
      </c>
      <c r="H118" s="8" t="s">
        <v>7</v>
      </c>
      <c r="I118" s="8" t="s">
        <v>19</v>
      </c>
      <c r="J118" s="8" t="s">
        <v>8</v>
      </c>
      <c r="K118" s="8" t="s">
        <v>9</v>
      </c>
      <c r="L118" s="8" t="s">
        <v>10</v>
      </c>
      <c r="M118" s="8" t="s">
        <v>11</v>
      </c>
      <c r="N118" s="9" t="s">
        <v>12</v>
      </c>
      <c r="O118" s="9" t="s">
        <v>13</v>
      </c>
      <c r="P118" s="9" t="s">
        <v>14</v>
      </c>
      <c r="Q118" s="9" t="s">
        <v>15</v>
      </c>
      <c r="R118" s="9" t="s">
        <v>16</v>
      </c>
      <c r="S118" s="8"/>
    </row>
    <row r="119" spans="1:19" ht="14.4" x14ac:dyDescent="0.3">
      <c r="A119" s="15"/>
      <c r="B119" t="s">
        <v>75</v>
      </c>
      <c r="C119" s="19" t="s">
        <v>66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>
        <f>VLOOKUP(Tabulka92[[#This Row],[jméno, příjmení, rok narození]],Allv0[[jméno, příjmení, rok narození]:[Vlastní]],3,FALSE)</f>
        <v>2.2916666666666599E-2</v>
      </c>
      <c r="P119" s="9">
        <f>Tabulka92[[#This Row],[cíl]]-Tabulka92[[#This Row],[start]]</f>
        <v>-2.2916666666666599E-2</v>
      </c>
      <c r="Q119" s="9"/>
      <c r="R119" s="9">
        <f t="shared" ref="R119" si="5">P119+TIME(0,M119,0)-Q119</f>
        <v>-2.2916666666666599E-2</v>
      </c>
      <c r="S119" s="8"/>
    </row>
    <row r="120" spans="1:19" ht="14.4" x14ac:dyDescent="0.3">
      <c r="A120" s="15"/>
      <c r="B120" s="19" t="s">
        <v>37</v>
      </c>
      <c r="C120" s="19" t="s">
        <v>18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>
        <f>VLOOKUP(Tabulka92[[#This Row],[jméno, příjmení, rok narození]],Allv0[[jméno, příjmení, rok narození]:[Vlastní]],3,FALSE)</f>
        <v>1.3888888888888889E-3</v>
      </c>
      <c r="P120" s="9"/>
      <c r="Q120" s="9"/>
      <c r="R120" s="9"/>
      <c r="S120" s="8"/>
    </row>
    <row r="121" spans="1:19" ht="14.4" x14ac:dyDescent="0.3">
      <c r="A121" s="15"/>
      <c r="B121" s="19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8"/>
    </row>
    <row r="122" spans="1:19" ht="14.4" x14ac:dyDescent="0.3">
      <c r="A122" s="15"/>
      <c r="B122" s="19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8"/>
    </row>
    <row r="123" spans="1:19" ht="14.4" x14ac:dyDescent="0.3">
      <c r="A123" s="15"/>
      <c r="B123" s="19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8"/>
    </row>
    <row r="124" spans="1:19" ht="14.4" x14ac:dyDescent="0.3">
      <c r="A124" s="15"/>
      <c r="B124" s="19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8"/>
    </row>
    <row r="125" spans="1:19" x14ac:dyDescent="0.25">
      <c r="A125" s="8"/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9"/>
      <c r="O125" s="9"/>
      <c r="P125" s="9"/>
      <c r="Q125" s="9"/>
      <c r="R125" s="9"/>
      <c r="S125" s="8"/>
    </row>
    <row r="126" spans="1:19" x14ac:dyDescent="0.25">
      <c r="A126" s="6"/>
      <c r="B126" s="6" t="s">
        <v>62</v>
      </c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9"/>
      <c r="O126" s="9"/>
      <c r="P126" s="9"/>
      <c r="Q126" s="9"/>
      <c r="R126" s="9"/>
      <c r="S126" s="8"/>
    </row>
    <row r="127" spans="1:19" x14ac:dyDescent="0.25">
      <c r="A127" s="8" t="s">
        <v>0</v>
      </c>
      <c r="B127" s="7" t="s">
        <v>1</v>
      </c>
      <c r="C127" s="7" t="s">
        <v>2</v>
      </c>
      <c r="D127" s="8" t="s">
        <v>3</v>
      </c>
      <c r="E127" s="8" t="s">
        <v>4</v>
      </c>
      <c r="F127" s="8" t="s">
        <v>5</v>
      </c>
      <c r="G127" s="8" t="s">
        <v>6</v>
      </c>
      <c r="H127" s="8" t="s">
        <v>7</v>
      </c>
      <c r="I127" s="8" t="s">
        <v>19</v>
      </c>
      <c r="J127" s="8" t="s">
        <v>8</v>
      </c>
      <c r="K127" s="8" t="s">
        <v>9</v>
      </c>
      <c r="L127" s="8" t="s">
        <v>10</v>
      </c>
      <c r="M127" s="8" t="s">
        <v>11</v>
      </c>
      <c r="N127" s="9" t="s">
        <v>12</v>
      </c>
      <c r="O127" s="9" t="s">
        <v>13</v>
      </c>
      <c r="P127" s="9" t="s">
        <v>14</v>
      </c>
      <c r="Q127" s="9" t="s">
        <v>15</v>
      </c>
      <c r="R127" s="9" t="s">
        <v>16</v>
      </c>
      <c r="S127" s="8"/>
    </row>
    <row r="128" spans="1:19" ht="14.4" x14ac:dyDescent="0.3">
      <c r="A128" s="15"/>
      <c r="B128" s="19" t="s">
        <v>77</v>
      </c>
      <c r="C128" s="19" t="s">
        <v>66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9"/>
      <c r="O128" s="9">
        <f>VLOOKUP(Tabulka13[[#This Row],[jméno, příjmení, rok narození]],Allv0[[jméno, příjmení, rok narození]:[Vlastní]],3,FALSE)</f>
        <v>2.5000000000000001E-2</v>
      </c>
      <c r="P128" s="9">
        <f>Tabulka13[[#This Row],[cíl]]-Tabulka13[[#This Row],[start]]</f>
        <v>-2.5000000000000001E-2</v>
      </c>
      <c r="Q128" s="9"/>
      <c r="R128" s="9">
        <f>P128+TIME(0,M128,0)-Q128</f>
        <v>-2.5000000000000001E-2</v>
      </c>
      <c r="S128" s="8"/>
    </row>
    <row r="129" spans="1:19" ht="14.4" x14ac:dyDescent="0.3">
      <c r="A129" s="15"/>
      <c r="B129" s="19" t="s">
        <v>31</v>
      </c>
      <c r="C129" s="19" t="s">
        <v>66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9"/>
      <c r="O129" s="9">
        <f>VLOOKUP(Tabulka13[[#This Row],[jméno, příjmení, rok narození]],Allv0[[jméno, příjmení, rok narození]:[Vlastní]],3,FALSE)</f>
        <v>2.9166666666666601E-2</v>
      </c>
      <c r="P129" s="9">
        <f>Tabulka13[[#This Row],[cíl]]-Tabulka13[[#This Row],[start]]</f>
        <v>-2.9166666666666601E-2</v>
      </c>
      <c r="Q129" s="9"/>
      <c r="R129" s="9">
        <f>P129+TIME(0,M129,0)-Q129</f>
        <v>-2.9166666666666601E-2</v>
      </c>
      <c r="S129" s="8"/>
    </row>
    <row r="130" spans="1:19" ht="14.4" x14ac:dyDescent="0.3">
      <c r="A130" s="15"/>
      <c r="B130" t="s">
        <v>78</v>
      </c>
      <c r="C130" s="19" t="s">
        <v>66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9">
        <f>VLOOKUP(Tabulka13[[#This Row],[jméno, příjmení, rok narození]],Allv0[[jméno, příjmení, rok narození]:[Vlastní]],3,FALSE)</f>
        <v>3.4722222222222199E-3</v>
      </c>
      <c r="P130" s="9">
        <f>Tabulka13[[#This Row],[cíl]]-Tabulka13[[#This Row],[start]]</f>
        <v>-3.4722222222222199E-3</v>
      </c>
      <c r="Q130" s="9"/>
      <c r="R130" s="9">
        <f>P130+TIME(0,M130,0)-Q130</f>
        <v>-3.4722222222222199E-3</v>
      </c>
      <c r="S130" s="8"/>
    </row>
    <row r="131" spans="1:19" ht="14.4" x14ac:dyDescent="0.3">
      <c r="A131" s="15"/>
      <c r="B131" s="19" t="s">
        <v>79</v>
      </c>
      <c r="C131" s="19" t="s">
        <v>66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>
        <f>VLOOKUP(Tabulka13[[#This Row],[jméno, příjmení, rok narození]],Allv0[[jméno, příjmení, rok narození]:[Vlastní]],3,FALSE)</f>
        <v>2.0833333333333298E-3</v>
      </c>
      <c r="P131" s="9">
        <f>Tabulka13[[#This Row],[cíl]]-Tabulka13[[#This Row],[start]]</f>
        <v>-2.0833333333333298E-3</v>
      </c>
      <c r="Q131" s="9"/>
      <c r="R131" s="9">
        <f>P131+TIME(0,M131,0)-Q131</f>
        <v>-2.0833333333333298E-3</v>
      </c>
      <c r="S131" s="8"/>
    </row>
    <row r="132" spans="1:19" x14ac:dyDescent="0.25">
      <c r="A132" s="15"/>
      <c r="B132" s="7" t="s">
        <v>91</v>
      </c>
      <c r="C132" s="7" t="s">
        <v>18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9"/>
      <c r="O132" s="9"/>
      <c r="P132" s="9"/>
      <c r="Q132" s="9"/>
      <c r="R132" s="9"/>
      <c r="S132" s="8"/>
    </row>
    <row r="133" spans="1:19" x14ac:dyDescent="0.25">
      <c r="A133" s="15"/>
      <c r="B133" s="7" t="s">
        <v>39</v>
      </c>
      <c r="C133" s="7" t="s">
        <v>18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8"/>
    </row>
    <row r="134" spans="1:19" x14ac:dyDescent="0.25">
      <c r="A134" s="15"/>
      <c r="B134" s="7" t="s">
        <v>92</v>
      </c>
      <c r="C134" s="7" t="s">
        <v>18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9"/>
      <c r="R134" s="9"/>
      <c r="S134" s="8"/>
    </row>
    <row r="135" spans="1:19" x14ac:dyDescent="0.25">
      <c r="A135" s="8"/>
      <c r="B135" s="7"/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"/>
      <c r="O135" s="9"/>
      <c r="P135" s="9"/>
      <c r="Q135" s="9"/>
      <c r="R135" s="9"/>
      <c r="S135" s="8"/>
    </row>
    <row r="136" spans="1:19" x14ac:dyDescent="0.25">
      <c r="A136" s="6"/>
      <c r="B136" s="6" t="s">
        <v>65</v>
      </c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9"/>
      <c r="O136" s="9"/>
      <c r="P136" s="9"/>
      <c r="Q136" s="9"/>
      <c r="R136" s="9"/>
      <c r="S136" s="8"/>
    </row>
    <row r="137" spans="1:19" x14ac:dyDescent="0.25">
      <c r="A137" s="8" t="s">
        <v>0</v>
      </c>
      <c r="B137" s="7" t="s">
        <v>1</v>
      </c>
      <c r="C137" s="7" t="s">
        <v>2</v>
      </c>
      <c r="D137" s="8" t="s">
        <v>3</v>
      </c>
      <c r="E137" s="8" t="s">
        <v>4</v>
      </c>
      <c r="F137" s="8" t="s">
        <v>5</v>
      </c>
      <c r="G137" s="8" t="s">
        <v>6</v>
      </c>
      <c r="H137" s="8" t="s">
        <v>7</v>
      </c>
      <c r="I137" s="8" t="s">
        <v>19</v>
      </c>
      <c r="J137" s="8" t="s">
        <v>8</v>
      </c>
      <c r="K137" s="8" t="s">
        <v>9</v>
      </c>
      <c r="L137" s="8" t="s">
        <v>10</v>
      </c>
      <c r="M137" s="8" t="s">
        <v>11</v>
      </c>
      <c r="N137" s="9" t="s">
        <v>12</v>
      </c>
      <c r="O137" s="9" t="s">
        <v>13</v>
      </c>
      <c r="P137" s="9" t="s">
        <v>14</v>
      </c>
      <c r="Q137" s="9" t="s">
        <v>15</v>
      </c>
      <c r="R137" s="9" t="s">
        <v>16</v>
      </c>
      <c r="S137" s="11"/>
    </row>
    <row r="138" spans="1:19" ht="14.4" x14ac:dyDescent="0.3">
      <c r="A138" s="15"/>
      <c r="B138" s="19" t="s">
        <v>82</v>
      </c>
      <c r="C138" s="19" t="s">
        <v>66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9"/>
      <c r="O138" s="9">
        <f>VLOOKUP(Tabulka14[[#This Row],[jméno, příjmení, rok narození]],Allv0[[jméno, příjmení, rok narození]:[Vlastní]],3,FALSE)</f>
        <v>2.70833333333333E-2</v>
      </c>
      <c r="P138" s="9">
        <f>Tabulka14[[#This Row],[cíl]]-Tabulka14[[#This Row],[start]]</f>
        <v>-2.70833333333333E-2</v>
      </c>
      <c r="Q138" s="9"/>
      <c r="R138" s="9">
        <f>P138+TIME(0,M138,0)-Q138</f>
        <v>-2.70833333333333E-2</v>
      </c>
      <c r="S138" s="11"/>
    </row>
    <row r="139" spans="1:19" ht="14.4" x14ac:dyDescent="0.3">
      <c r="A139" s="15"/>
      <c r="B139" s="19" t="s">
        <v>32</v>
      </c>
      <c r="C139" s="19" t="s">
        <v>66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9"/>
      <c r="O139" s="9">
        <f>VLOOKUP(Tabulka14[[#This Row],[jméno, příjmení, rok narození]],Allv0[[jméno, příjmení, rok narození]:[Vlastní]],3,FALSE)</f>
        <v>3.19444444444444E-2</v>
      </c>
      <c r="P139" s="9">
        <f>Tabulka14[[#This Row],[cíl]]-Tabulka14[[#This Row],[start]]</f>
        <v>-3.19444444444444E-2</v>
      </c>
      <c r="Q139" s="9"/>
      <c r="R139" s="9">
        <f>P139+TIME(0,M139,0)-Q139</f>
        <v>-3.19444444444444E-2</v>
      </c>
      <c r="S139" s="11"/>
    </row>
    <row r="140" spans="1:19" ht="14.4" x14ac:dyDescent="0.3">
      <c r="A140" s="15"/>
      <c r="B140" s="19" t="s">
        <v>83</v>
      </c>
      <c r="C140" s="19" t="s">
        <v>66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9"/>
      <c r="O140" s="9">
        <f>VLOOKUP(Tabulka14[[#This Row],[jméno, příjmení, rok narození]],Allv0[[jméno, příjmení, rok narození]:[Vlastní]],3,FALSE)</f>
        <v>3.8194444444444399E-2</v>
      </c>
      <c r="P140" s="9">
        <f>Tabulka14[[#This Row],[cíl]]-Tabulka14[[#This Row],[start]]</f>
        <v>-3.8194444444444399E-2</v>
      </c>
      <c r="Q140" s="9"/>
      <c r="R140" s="9">
        <f>P140+TIME(0,M140,0)-Q140</f>
        <v>-3.8194444444444399E-2</v>
      </c>
      <c r="S140" s="11"/>
    </row>
    <row r="141" spans="1:19" ht="14.4" x14ac:dyDescent="0.3">
      <c r="A141" s="15"/>
      <c r="B141" s="7" t="s">
        <v>84</v>
      </c>
      <c r="C141" s="19" t="s">
        <v>66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  <c r="O141" s="9">
        <f>VLOOKUP(Tabulka14[[#This Row],[jméno, příjmení, rok narození]],Allv0[[jméno, příjmení, rok narození]:[Vlastní]],3,FALSE)</f>
        <v>1.8055555555555498E-2</v>
      </c>
      <c r="P141" s="9">
        <f>Tabulka14[[#This Row],[cíl]]-Tabulka14[[#This Row],[start]]</f>
        <v>-1.8055555555555498E-2</v>
      </c>
      <c r="Q141" s="9"/>
      <c r="R141" s="9">
        <f>P141+TIME(0,M141,0)-Q141</f>
        <v>-1.8055555555555498E-2</v>
      </c>
      <c r="S141" s="11"/>
    </row>
    <row r="142" spans="1:19" x14ac:dyDescent="0.25">
      <c r="A142" s="15"/>
      <c r="B142" s="7"/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9"/>
      <c r="O142" s="9"/>
      <c r="P142" s="9">
        <f>Tabulka14[[#This Row],[cíl]]-Tabulka14[[#This Row],[start]]</f>
        <v>0</v>
      </c>
      <c r="Q142" s="9"/>
      <c r="R142" s="9">
        <f t="shared" ref="R142:R143" si="6">P142+TIME(0,M142,0)-Q142</f>
        <v>0</v>
      </c>
      <c r="S142" s="11"/>
    </row>
    <row r="143" spans="1:19" x14ac:dyDescent="0.25">
      <c r="A143" s="15"/>
      <c r="B143" s="7"/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"/>
      <c r="O143" s="9"/>
      <c r="P143" s="9">
        <f>Tabulka14[[#This Row],[cíl]]-Tabulka14[[#This Row],[start]]</f>
        <v>0</v>
      </c>
      <c r="Q143" s="9"/>
      <c r="R143" s="9">
        <f t="shared" si="6"/>
        <v>0</v>
      </c>
      <c r="S143" s="11"/>
    </row>
    <row r="144" spans="1:19" x14ac:dyDescent="0.25">
      <c r="A144" s="15"/>
      <c r="B144" s="7"/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9"/>
      <c r="O144" s="9"/>
      <c r="P144" s="9">
        <f>Tabulka14[[#This Row],[cíl]]-Tabulka14[[#This Row],[start]]</f>
        <v>0</v>
      </c>
      <c r="Q144" s="9"/>
      <c r="R144" s="9">
        <f>P144+TIME(0,M144,0)-Q144</f>
        <v>0</v>
      </c>
      <c r="S144" s="11"/>
    </row>
    <row r="145" spans="1:19" x14ac:dyDescent="0.25">
      <c r="A145" s="15"/>
      <c r="B145" s="7"/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9"/>
      <c r="O145" s="9"/>
      <c r="P145" s="9">
        <f>Tabulka14[[#This Row],[cíl]]-Tabulka14[[#This Row],[start]]</f>
        <v>0</v>
      </c>
      <c r="Q145" s="9"/>
      <c r="R145" s="9">
        <f>P145+TIME(0,M145,0)-Q145</f>
        <v>0</v>
      </c>
      <c r="S145" s="11"/>
    </row>
    <row r="146" spans="1:19" x14ac:dyDescent="0.25">
      <c r="A146" s="6"/>
      <c r="B146" s="6" t="s">
        <v>63</v>
      </c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11"/>
    </row>
    <row r="147" spans="1:19" x14ac:dyDescent="0.25">
      <c r="A147" s="8" t="s">
        <v>0</v>
      </c>
      <c r="B147" s="7" t="s">
        <v>1</v>
      </c>
      <c r="C147" s="7" t="s">
        <v>2</v>
      </c>
      <c r="D147" s="8" t="s">
        <v>3</v>
      </c>
      <c r="E147" s="8" t="s">
        <v>4</v>
      </c>
      <c r="F147" s="8" t="s">
        <v>5</v>
      </c>
      <c r="G147" s="8" t="s">
        <v>6</v>
      </c>
      <c r="H147" s="8" t="s">
        <v>7</v>
      </c>
      <c r="I147" s="8" t="s">
        <v>19</v>
      </c>
      <c r="J147" s="8" t="s">
        <v>8</v>
      </c>
      <c r="K147" s="8" t="s">
        <v>9</v>
      </c>
      <c r="L147" s="8" t="s">
        <v>10</v>
      </c>
      <c r="M147" s="8" t="s">
        <v>11</v>
      </c>
      <c r="N147" s="9" t="s">
        <v>12</v>
      </c>
      <c r="O147" s="9" t="s">
        <v>13</v>
      </c>
      <c r="P147" s="9" t="s">
        <v>14</v>
      </c>
      <c r="Q147" s="9" t="s">
        <v>15</v>
      </c>
      <c r="R147" s="9" t="s">
        <v>16</v>
      </c>
      <c r="S147" s="7"/>
    </row>
    <row r="148" spans="1:19" ht="14.4" x14ac:dyDescent="0.3">
      <c r="A148" s="15"/>
      <c r="B148" s="19" t="s">
        <v>76</v>
      </c>
      <c r="C148" s="19" t="s">
        <v>66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9"/>
      <c r="O148" s="9">
        <f>VLOOKUP(Tabulka15[[#This Row],[jméno, příjmení, rok narození]],Allv0[[jméno, příjmení, rok narození]:[Vlastní]],3,FALSE)</f>
        <v>3.3333333333333298E-2</v>
      </c>
      <c r="P148" s="9">
        <f>Tabulka15[[#This Row],[cíl]]-Tabulka15[[#This Row],[start]]</f>
        <v>-3.3333333333333298E-2</v>
      </c>
      <c r="Q148" s="9"/>
      <c r="R148" s="9">
        <f>P148+TIME(0,M148,0)-Q148</f>
        <v>-3.3333333333333298E-2</v>
      </c>
      <c r="S148" s="7"/>
    </row>
    <row r="149" spans="1:19" ht="14.4" x14ac:dyDescent="0.3">
      <c r="A149" s="15"/>
      <c r="B149" s="19" t="s">
        <v>33</v>
      </c>
      <c r="C149" s="19" t="s">
        <v>66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>
        <f>VLOOKUP(Tabulka15[[#This Row],[jméno, příjmení, rok narození]],Allv0[[jméno, příjmení, rok narození]:[Vlastní]],3,FALSE)</f>
        <v>2.8472222222222201E-2</v>
      </c>
      <c r="P149" s="9">
        <f>Tabulka15[[#This Row],[cíl]]-Tabulka15[[#This Row],[start]]</f>
        <v>-2.8472222222222201E-2</v>
      </c>
      <c r="Q149" s="9"/>
      <c r="R149" s="9">
        <f>P149+TIME(0,M149,0)-Q149</f>
        <v>-2.8472222222222201E-2</v>
      </c>
      <c r="S149" s="11"/>
    </row>
    <row r="150" spans="1:19" ht="14.4" x14ac:dyDescent="0.3">
      <c r="A150" s="15"/>
      <c r="B150" t="s">
        <v>34</v>
      </c>
      <c r="C150" s="19" t="s">
        <v>66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9"/>
      <c r="O150" s="9">
        <f>VLOOKUP(Tabulka15[[#This Row],[jméno, příjmení, rok narození]],Allv0[[jméno, příjmení, rok narození]:[Vlastní]],3,FALSE)</f>
        <v>6.9444444444444447E-4</v>
      </c>
      <c r="P150" s="9">
        <f>Tabulka15[[#This Row],[cíl]]-Tabulka15[[#This Row],[start]]</f>
        <v>-6.9444444444444447E-4</v>
      </c>
      <c r="Q150" s="9"/>
      <c r="R150" s="9">
        <f>P150+TIME(0,M150,0)-Q150</f>
        <v>-6.9444444444444447E-4</v>
      </c>
      <c r="S150" s="11"/>
    </row>
    <row r="151" spans="1:19" x14ac:dyDescent="0.25">
      <c r="A151" s="15"/>
      <c r="B151" s="7" t="s">
        <v>90</v>
      </c>
      <c r="C151" s="7" t="s">
        <v>18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9"/>
      <c r="O151" s="9">
        <f>VLOOKUP(Tabulka15[[#This Row],[jméno, příjmení, rok narození]],Allv0[[jméno, příjmení, rok narození]:[Vlastní]],3,FALSE)</f>
        <v>3.6805555555555501E-2</v>
      </c>
      <c r="P151" s="9">
        <f>Tabulka15[[#This Row],[cíl]]-Tabulka15[[#This Row],[start]]</f>
        <v>-3.6805555555555501E-2</v>
      </c>
      <c r="Q151" s="9"/>
      <c r="R151" s="9">
        <f>P151+TIME(0,M151,0)-Q151</f>
        <v>-3.6805555555555501E-2</v>
      </c>
      <c r="S151" s="11"/>
    </row>
    <row r="152" spans="1:19" x14ac:dyDescent="0.25">
      <c r="A152" s="15"/>
      <c r="B152" s="7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11"/>
    </row>
    <row r="153" spans="1:19" x14ac:dyDescent="0.25">
      <c r="A153" s="15"/>
      <c r="B153" s="7"/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9"/>
      <c r="O153" s="9"/>
      <c r="P153" s="9"/>
      <c r="Q153" s="9"/>
      <c r="R153" s="9"/>
      <c r="S153" s="11"/>
    </row>
    <row r="154" spans="1:19" x14ac:dyDescent="0.25">
      <c r="A154" s="8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9"/>
      <c r="O154" s="9"/>
      <c r="P154" s="9"/>
      <c r="Q154" s="9"/>
      <c r="R154" s="9"/>
      <c r="S154" s="11"/>
    </row>
    <row r="155" spans="1:19" x14ac:dyDescent="0.25">
      <c r="A155" s="6"/>
      <c r="B155" s="6" t="s">
        <v>64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9"/>
      <c r="O155" s="9"/>
      <c r="P155" s="9"/>
      <c r="Q155" s="9"/>
      <c r="R155" s="9"/>
      <c r="S155" s="11"/>
    </row>
    <row r="156" spans="1:19" x14ac:dyDescent="0.25">
      <c r="A156" s="8" t="s">
        <v>0</v>
      </c>
      <c r="B156" s="7" t="s">
        <v>1</v>
      </c>
      <c r="C156" s="7" t="s">
        <v>2</v>
      </c>
      <c r="D156" s="8" t="s">
        <v>3</v>
      </c>
      <c r="E156" s="8" t="s">
        <v>4</v>
      </c>
      <c r="F156" s="8" t="s">
        <v>5</v>
      </c>
      <c r="G156" s="8" t="s">
        <v>6</v>
      </c>
      <c r="H156" s="8" t="s">
        <v>7</v>
      </c>
      <c r="I156" s="8" t="s">
        <v>19</v>
      </c>
      <c r="J156" s="8" t="s">
        <v>8</v>
      </c>
      <c r="K156" s="8" t="s">
        <v>9</v>
      </c>
      <c r="L156" s="8" t="s">
        <v>10</v>
      </c>
      <c r="M156" s="8" t="s">
        <v>11</v>
      </c>
      <c r="N156" s="9" t="s">
        <v>12</v>
      </c>
      <c r="O156" s="9" t="s">
        <v>13</v>
      </c>
      <c r="P156" s="9" t="s">
        <v>14</v>
      </c>
      <c r="Q156" s="9" t="s">
        <v>15</v>
      </c>
      <c r="R156" s="9" t="s">
        <v>16</v>
      </c>
      <c r="S156" s="11"/>
    </row>
    <row r="157" spans="1:19" ht="14.4" x14ac:dyDescent="0.3">
      <c r="A157" s="15"/>
      <c r="B157" s="19" t="s">
        <v>68</v>
      </c>
      <c r="C157" s="7" t="s">
        <v>67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9"/>
      <c r="O157" s="9">
        <f>VLOOKUP(Tabulka16[[#This Row],[jméno, příjmení, rok narození]],Allv0[[jméno, příjmení, rok narození]:[Vlastní]],3,FALSE)</f>
        <v>3.0555555555555499E-2</v>
      </c>
      <c r="P157" s="9">
        <f>Tabulka16[[#This Row],[cíl]]-Tabulka16[[#This Row],[start]]</f>
        <v>-3.0555555555555499E-2</v>
      </c>
      <c r="Q157" s="9"/>
      <c r="R157" s="9">
        <f t="shared" ref="R157:R165" si="7">P157+TIME(0,M157,0)-Q157</f>
        <v>-3.0555555555555499E-2</v>
      </c>
      <c r="S157" s="11"/>
    </row>
    <row r="158" spans="1:19" ht="14.4" x14ac:dyDescent="0.3">
      <c r="A158" s="15"/>
      <c r="B158" s="19" t="s">
        <v>40</v>
      </c>
      <c r="C158" s="19" t="s">
        <v>67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9"/>
      <c r="O158" s="9">
        <f>VLOOKUP(Tabulka16[[#This Row],[jméno, příjmení, rok narození]],Allv0[[jméno, příjmení, rok narození]:[Vlastní]],3,FALSE)</f>
        <v>2.01388888888888E-2</v>
      </c>
      <c r="P158" s="9">
        <f>Tabulka16[[#This Row],[cíl]]-Tabulka16[[#This Row],[start]]</f>
        <v>-2.01388888888888E-2</v>
      </c>
      <c r="Q158" s="9"/>
      <c r="R158" s="9">
        <f t="shared" si="7"/>
        <v>-2.01388888888888E-2</v>
      </c>
      <c r="S158" s="11"/>
    </row>
    <row r="159" spans="1:19" ht="14.4" x14ac:dyDescent="0.3">
      <c r="A159" s="15"/>
      <c r="B159" t="s">
        <v>80</v>
      </c>
      <c r="C159" s="19" t="s">
        <v>66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9"/>
      <c r="O159" s="9">
        <f>VLOOKUP(Tabulka16[[#This Row],[jméno, příjmení, rok narození]],Allv0[[jméno, příjmení, rok narození]:[Vlastní]],3,FALSE)</f>
        <v>2.2222222222222199E-2</v>
      </c>
      <c r="P159" s="9">
        <f>Tabulka16[[#This Row],[cíl]]-Tabulka16[[#This Row],[start]]</f>
        <v>-2.2222222222222199E-2</v>
      </c>
      <c r="Q159" s="9"/>
      <c r="R159" s="9">
        <f t="shared" si="7"/>
        <v>-2.2222222222222199E-2</v>
      </c>
      <c r="S159" s="7"/>
    </row>
    <row r="160" spans="1:19" ht="14.4" x14ac:dyDescent="0.3">
      <c r="A160" s="15"/>
      <c r="B160" s="19" t="s">
        <v>42</v>
      </c>
      <c r="C160" s="19" t="s">
        <v>66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9"/>
      <c r="O160" s="9">
        <f>VLOOKUP(Tabulka16[[#This Row],[jméno, příjmení, rok narození]],Allv0[[jméno, příjmení, rok narození]:[Vlastní]],3,FALSE)</f>
        <v>2.43055555555555E-2</v>
      </c>
      <c r="P160" s="9">
        <f>Tabulka16[[#This Row],[cíl]]-Tabulka16[[#This Row],[start]]</f>
        <v>-2.43055555555555E-2</v>
      </c>
      <c r="Q160" s="9"/>
      <c r="R160" s="9">
        <f t="shared" si="7"/>
        <v>-2.43055555555555E-2</v>
      </c>
      <c r="S160" s="7"/>
    </row>
    <row r="161" spans="1:19" ht="14.4" x14ac:dyDescent="0.3">
      <c r="A161" s="15"/>
      <c r="B161" s="19" t="s">
        <v>81</v>
      </c>
      <c r="C161" s="19" t="s">
        <v>66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>
        <f>VLOOKUP(Tabulka16[[#This Row],[jméno, příjmení, rok narození]],Allv0[[jméno, příjmení, rok narození]:[Vlastní]],3,FALSE)</f>
        <v>2.6388888888888799E-2</v>
      </c>
      <c r="P161" s="9">
        <f>Tabulka16[[#This Row],[cíl]]-Tabulka16[[#This Row],[start]]</f>
        <v>-2.6388888888888799E-2</v>
      </c>
      <c r="Q161" s="9"/>
      <c r="R161" s="9">
        <f t="shared" si="7"/>
        <v>-2.6388888888888799E-2</v>
      </c>
      <c r="S161" s="7"/>
    </row>
    <row r="162" spans="1:19" ht="14.4" x14ac:dyDescent="0.3">
      <c r="A162" s="15"/>
      <c r="B162" s="19" t="s">
        <v>41</v>
      </c>
      <c r="C162" s="19" t="s">
        <v>66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>
        <f>VLOOKUP(Tabulka16[[#This Row],[jméno, příjmení, rok narození]],Allv0[[jméno, příjmení, rok narození]:[Vlastní]],3,FALSE)</f>
        <v>1.59722222222222E-2</v>
      </c>
      <c r="P162" s="9">
        <f>Tabulka16[[#This Row],[cíl]]-Tabulka16[[#This Row],[start]]</f>
        <v>-1.59722222222222E-2</v>
      </c>
      <c r="Q162" s="9"/>
      <c r="R162" s="9">
        <f t="shared" si="7"/>
        <v>-1.59722222222222E-2</v>
      </c>
      <c r="S162" s="7"/>
    </row>
    <row r="163" spans="1:19" ht="14.4" x14ac:dyDescent="0.3">
      <c r="A163" s="15"/>
      <c r="B163" s="19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>
        <f>Tabulka16[[#This Row],[cíl]]-Tabulka16[[#This Row],[start]]</f>
        <v>0</v>
      </c>
      <c r="Q163" s="9"/>
      <c r="R163" s="9">
        <f t="shared" si="7"/>
        <v>0</v>
      </c>
      <c r="S163" s="7"/>
    </row>
    <row r="164" spans="1:19" ht="14.4" x14ac:dyDescent="0.3">
      <c r="A164" s="15"/>
      <c r="B164" s="19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"/>
      <c r="O164" s="9"/>
      <c r="P164" s="9">
        <f>Tabulka16[[#This Row],[cíl]]-Tabulka16[[#This Row],[start]]</f>
        <v>0</v>
      </c>
      <c r="Q164" s="9"/>
      <c r="R164" s="9">
        <f t="shared" si="7"/>
        <v>0</v>
      </c>
      <c r="S164" s="7"/>
    </row>
    <row r="165" spans="1:19" ht="14.4" x14ac:dyDescent="0.3">
      <c r="A165" s="15"/>
      <c r="B165" s="19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9"/>
      <c r="O165" s="9"/>
      <c r="P165" s="9">
        <f>Tabulka16[[#This Row],[cíl]]-Tabulka16[[#This Row],[start]]</f>
        <v>0</v>
      </c>
      <c r="Q165" s="9"/>
      <c r="R165" s="9">
        <f t="shared" si="7"/>
        <v>0</v>
      </c>
      <c r="S165" s="7"/>
    </row>
    <row r="166" spans="1:19" ht="14.4" x14ac:dyDescent="0.3">
      <c r="A166" s="15"/>
      <c r="B166" s="19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"/>
      <c r="O166" s="9"/>
      <c r="P166" s="9"/>
      <c r="Q166" s="9"/>
      <c r="R166" s="9"/>
      <c r="S166" s="7"/>
    </row>
    <row r="167" spans="1:19" ht="14.4" x14ac:dyDescent="0.3">
      <c r="A167" s="15"/>
      <c r="B167" s="19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9"/>
      <c r="O167" s="9"/>
      <c r="P167" s="9"/>
      <c r="Q167" s="9"/>
      <c r="R167" s="9"/>
      <c r="S167" s="7"/>
    </row>
    <row r="168" spans="1:19" ht="14.4" x14ac:dyDescent="0.3">
      <c r="A168" s="15"/>
      <c r="B168" s="19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9"/>
      <c r="O168" s="9"/>
      <c r="P168" s="9"/>
      <c r="Q168" s="9"/>
      <c r="R168" s="9"/>
      <c r="S168" s="7"/>
    </row>
    <row r="169" spans="1:19" x14ac:dyDescent="0.25">
      <c r="A169" s="15"/>
      <c r="B169" s="7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9"/>
      <c r="P169" s="9"/>
      <c r="Q169" s="9"/>
      <c r="R169" s="9"/>
      <c r="S169" s="7"/>
    </row>
    <row r="170" spans="1:19" x14ac:dyDescent="0.25">
      <c r="A170" s="8"/>
      <c r="B170" s="7"/>
      <c r="C170" s="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9"/>
      <c r="P170" s="9"/>
      <c r="Q170" s="9"/>
      <c r="R170" s="9"/>
      <c r="S170" s="7"/>
    </row>
    <row r="171" spans="1:19" x14ac:dyDescent="0.25">
      <c r="A171" s="6"/>
      <c r="B171" s="6" t="s">
        <v>85</v>
      </c>
      <c r="C171" s="7"/>
      <c r="D171" s="12"/>
      <c r="E171" s="8"/>
      <c r="F171" s="8"/>
      <c r="G171" s="8"/>
      <c r="H171" s="8"/>
      <c r="I171" s="8"/>
      <c r="J171" s="8"/>
      <c r="K171" s="8"/>
      <c r="L171" s="8"/>
      <c r="M171" s="8"/>
      <c r="N171" s="9" t="s">
        <v>17</v>
      </c>
      <c r="O171" s="9"/>
      <c r="P171" s="9"/>
      <c r="Q171" s="9"/>
      <c r="R171" s="9"/>
      <c r="S171" s="7"/>
    </row>
    <row r="172" spans="1:19" x14ac:dyDescent="0.25">
      <c r="A172" s="8" t="s">
        <v>0</v>
      </c>
      <c r="B172" s="7" t="s">
        <v>1</v>
      </c>
      <c r="C172" s="7" t="s">
        <v>2</v>
      </c>
      <c r="D172" s="8" t="s">
        <v>3</v>
      </c>
      <c r="E172" s="8" t="s">
        <v>4</v>
      </c>
      <c r="F172" s="8" t="s">
        <v>5</v>
      </c>
      <c r="G172" s="8" t="s">
        <v>6</v>
      </c>
      <c r="H172" s="8" t="s">
        <v>7</v>
      </c>
      <c r="I172" s="8" t="s">
        <v>19</v>
      </c>
      <c r="J172" s="8" t="s">
        <v>8</v>
      </c>
      <c r="K172" s="8" t="s">
        <v>9</v>
      </c>
      <c r="L172" s="8" t="s">
        <v>10</v>
      </c>
      <c r="M172" s="8" t="s">
        <v>11</v>
      </c>
      <c r="N172" s="9" t="s">
        <v>12</v>
      </c>
      <c r="O172" s="9" t="s">
        <v>13</v>
      </c>
      <c r="P172" s="9" t="s">
        <v>14</v>
      </c>
      <c r="Q172" s="9" t="s">
        <v>15</v>
      </c>
      <c r="R172" s="9" t="s">
        <v>16</v>
      </c>
      <c r="S172" s="7"/>
    </row>
    <row r="173" spans="1:19" ht="14.4" x14ac:dyDescent="0.3">
      <c r="A173" s="15"/>
      <c r="B173" s="19" t="s">
        <v>86</v>
      </c>
      <c r="C173" s="19" t="s">
        <v>66</v>
      </c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 t="e">
        <f>VLOOKUP(Tabulka17[[#This Row],[jméno, příjmení, rok narození]],Allv0[[jméno, příjmení, rok narození]:[Vlastní]],3,FALSE)</f>
        <v>#N/A</v>
      </c>
      <c r="P173" s="9" t="e">
        <f>Tabulka17[[#This Row],[cíl]]-Tabulka17[[#This Row],[start]]</f>
        <v>#N/A</v>
      </c>
      <c r="Q173" s="9"/>
      <c r="R173" s="9" t="e">
        <f>P173+TIME(0,M173,0)-Q173</f>
        <v>#N/A</v>
      </c>
      <c r="S173" s="7"/>
    </row>
    <row r="174" spans="1:19" ht="14.4" x14ac:dyDescent="0.3">
      <c r="A174" s="15"/>
      <c r="B174" s="19" t="s">
        <v>87</v>
      </c>
      <c r="C174" s="19" t="s">
        <v>66</v>
      </c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9"/>
      <c r="O174" s="9" t="e">
        <f>VLOOKUP(Tabulka17[[#This Row],[jméno, příjmení, rok narození]],Allv0[[jméno, příjmení, rok narození]:[Vlastní]],3,FALSE)</f>
        <v>#N/A</v>
      </c>
      <c r="P174" s="9" t="e">
        <f>Tabulka17[[#This Row],[cíl]]-Tabulka17[[#This Row],[start]]</f>
        <v>#N/A</v>
      </c>
      <c r="Q174" s="9"/>
      <c r="R174" s="9" t="e">
        <f>P174+TIME(0,M174,0)-Q174</f>
        <v>#N/A</v>
      </c>
      <c r="S174" s="7"/>
    </row>
    <row r="175" spans="1:19" ht="14.4" x14ac:dyDescent="0.3">
      <c r="A175" s="15"/>
      <c r="B175" s="19" t="s">
        <v>88</v>
      </c>
      <c r="C175" s="19" t="s">
        <v>66</v>
      </c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>
        <f>VLOOKUP(Tabulka17[[#This Row],[jméno, příjmení, rok narození]],Allv0[[jméno, příjmení, rok narození]:[Vlastní]],3,FALSE)</f>
        <v>6.2500000000000003E-3</v>
      </c>
      <c r="P175" s="9">
        <f>Tabulka17[[#This Row],[cíl]]-Tabulka17[[#This Row],[start]]</f>
        <v>-6.2500000000000003E-3</v>
      </c>
      <c r="Q175" s="9"/>
      <c r="R175" s="9">
        <f>P175+TIME(0,M175,0)-Q175</f>
        <v>-6.2500000000000003E-3</v>
      </c>
      <c r="S175" s="7"/>
    </row>
    <row r="176" spans="1:19" ht="14.4" x14ac:dyDescent="0.3">
      <c r="A176" s="15"/>
      <c r="C176" s="19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>
        <f>Tabulka17[[#This Row],[cíl]]-Tabulka17[[#This Row],[start]]</f>
        <v>0</v>
      </c>
      <c r="Q176" s="9"/>
      <c r="R176" s="9">
        <f>P176+TIME(0,M176,0)-Q176</f>
        <v>0</v>
      </c>
      <c r="S176" s="7"/>
    </row>
    <row r="177" spans="1:19" ht="14.4" x14ac:dyDescent="0.3">
      <c r="A177" s="15"/>
      <c r="B177" s="19"/>
      <c r="C177" s="19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9"/>
      <c r="O177" s="9"/>
      <c r="P177" s="9">
        <f>Tabulka17[[#This Row],[cíl]]-Tabulka17[[#This Row],[start]]</f>
        <v>0</v>
      </c>
      <c r="Q177" s="9"/>
      <c r="R177" s="9">
        <f>P177+TIME(0,M177,0)-Q177</f>
        <v>0</v>
      </c>
      <c r="S177" s="7"/>
    </row>
    <row r="178" spans="1:19" ht="14.4" x14ac:dyDescent="0.3">
      <c r="A178" s="15"/>
      <c r="B178" s="19"/>
      <c r="C178" s="19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7"/>
    </row>
    <row r="179" spans="1:19" x14ac:dyDescent="0.25">
      <c r="A179" s="15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9"/>
      <c r="O179" s="9"/>
      <c r="P179" s="9"/>
      <c r="Q179" s="9"/>
      <c r="R179" s="9"/>
      <c r="S179" s="7"/>
    </row>
    <row r="180" spans="1:19" ht="14.4" x14ac:dyDescent="0.3">
      <c r="A180" s="15"/>
      <c r="C180" s="19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9"/>
      <c r="O180" s="9"/>
      <c r="P180" s="9"/>
      <c r="Q180" s="9"/>
      <c r="R180" s="9"/>
      <c r="S180" s="7"/>
    </row>
    <row r="181" spans="1:19" ht="14.4" x14ac:dyDescent="0.3">
      <c r="A181" s="15"/>
      <c r="B181" s="19"/>
      <c r="C181" s="19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9"/>
      <c r="O181" s="9"/>
      <c r="P181" s="9"/>
      <c r="Q181" s="9"/>
      <c r="R181" s="9"/>
      <c r="S181" s="7"/>
    </row>
    <row r="182" spans="1:19" ht="14.4" x14ac:dyDescent="0.3">
      <c r="A182" s="15"/>
      <c r="B182" s="19"/>
      <c r="C182" s="19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9"/>
      <c r="O182" s="9"/>
      <c r="P182" s="9"/>
      <c r="Q182" s="9"/>
      <c r="R182" s="9"/>
      <c r="S182" s="7"/>
    </row>
    <row r="183" spans="1:19" x14ac:dyDescent="0.25">
      <c r="A183" s="15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7"/>
    </row>
    <row r="184" spans="1:19" x14ac:dyDescent="0.25">
      <c r="A184" s="8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7"/>
    </row>
    <row r="185" spans="1:19" x14ac:dyDescent="0.25">
      <c r="A185" s="8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7"/>
    </row>
    <row r="186" spans="1:19" x14ac:dyDescent="0.25">
      <c r="A186" s="8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7"/>
    </row>
    <row r="187" spans="1:19" x14ac:dyDescent="0.25">
      <c r="A187" s="8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7"/>
    </row>
    <row r="188" spans="1:19" x14ac:dyDescent="0.25">
      <c r="A188" s="8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  <c r="Q188" s="9"/>
      <c r="R188" s="9"/>
      <c r="S188" s="7"/>
    </row>
    <row r="189" spans="1:19" x14ac:dyDescent="0.25">
      <c r="A189" s="8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7"/>
    </row>
    <row r="190" spans="1:19" x14ac:dyDescent="0.25">
      <c r="A190" s="8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  <c r="Q190" s="9"/>
      <c r="R190" s="9"/>
      <c r="S190" s="7"/>
    </row>
    <row r="191" spans="1:19" x14ac:dyDescent="0.25">
      <c r="A191" s="8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  <c r="Q191" s="9"/>
      <c r="R191" s="9"/>
      <c r="S191" s="7"/>
    </row>
    <row r="192" spans="1:19" x14ac:dyDescent="0.25">
      <c r="A192" s="8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7"/>
    </row>
    <row r="193" spans="1:19" x14ac:dyDescent="0.25">
      <c r="A193" s="8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  <c r="Q193" s="9"/>
      <c r="R193" s="9"/>
      <c r="S193" s="7"/>
    </row>
    <row r="194" spans="1:19" x14ac:dyDescent="0.25">
      <c r="A194" s="8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7"/>
    </row>
    <row r="195" spans="1:19" x14ac:dyDescent="0.25">
      <c r="A195" s="8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  <c r="Q195" s="9"/>
      <c r="R195" s="9"/>
      <c r="S195" s="7"/>
    </row>
    <row r="196" spans="1:19" x14ac:dyDescent="0.25">
      <c r="A196" s="8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  <c r="Q196" s="9"/>
      <c r="R196" s="9"/>
      <c r="S196" s="7"/>
    </row>
    <row r="197" spans="1:19" x14ac:dyDescent="0.25">
      <c r="A197" s="8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7"/>
    </row>
    <row r="198" spans="1:19" x14ac:dyDescent="0.25">
      <c r="A198" s="8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  <c r="Q198" s="9"/>
      <c r="R198" s="9"/>
      <c r="S198" s="7"/>
    </row>
    <row r="199" spans="1:19" x14ac:dyDescent="0.25">
      <c r="A199" s="8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  <c r="Q199" s="9"/>
      <c r="R199" s="9"/>
      <c r="S199" s="7"/>
    </row>
    <row r="200" spans="1:19" x14ac:dyDescent="0.25">
      <c r="A200" s="8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7"/>
    </row>
    <row r="201" spans="1:19" x14ac:dyDescent="0.25">
      <c r="A201" s="8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  <c r="O201" s="9"/>
      <c r="P201" s="9"/>
      <c r="Q201" s="9"/>
      <c r="R201" s="9"/>
      <c r="S201" s="7"/>
    </row>
    <row r="202" spans="1:19" x14ac:dyDescent="0.25">
      <c r="A202" s="8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  <c r="Q202" s="9"/>
      <c r="R202" s="9"/>
      <c r="S202" s="7"/>
    </row>
    <row r="203" spans="1:19" x14ac:dyDescent="0.25">
      <c r="A203" s="8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  <c r="Q203" s="9"/>
      <c r="R203" s="9"/>
      <c r="S203" s="7"/>
    </row>
    <row r="204" spans="1:19" x14ac:dyDescent="0.25">
      <c r="A204" s="8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  <c r="Q204" s="9"/>
      <c r="R204" s="9"/>
      <c r="S204" s="7"/>
    </row>
    <row r="205" spans="1:19" x14ac:dyDescent="0.25">
      <c r="A205" s="8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  <c r="Q205" s="9"/>
      <c r="R205" s="9"/>
      <c r="S205" s="7"/>
    </row>
    <row r="206" spans="1:19" x14ac:dyDescent="0.25">
      <c r="A206" s="8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  <c r="Q206" s="9"/>
      <c r="R206" s="9"/>
      <c r="S206" s="7"/>
    </row>
    <row r="207" spans="1:19" x14ac:dyDescent="0.25">
      <c r="A207" s="8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  <c r="O207" s="9"/>
      <c r="P207" s="9"/>
      <c r="Q207" s="9"/>
      <c r="R207" s="9"/>
      <c r="S207" s="7"/>
    </row>
    <row r="208" spans="1:19" x14ac:dyDescent="0.25">
      <c r="A208" s="8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  <c r="O208" s="9"/>
      <c r="P208" s="9"/>
      <c r="Q208" s="9"/>
      <c r="R208" s="9"/>
      <c r="S208" s="7"/>
    </row>
    <row r="209" spans="1:19" x14ac:dyDescent="0.25">
      <c r="A209" s="8"/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  <c r="O209" s="9"/>
      <c r="P209" s="9"/>
      <c r="Q209" s="9"/>
      <c r="R209" s="9"/>
      <c r="S209" s="7"/>
    </row>
    <row r="210" spans="1:19" x14ac:dyDescent="0.25">
      <c r="A210" s="8"/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  <c r="O210" s="9"/>
      <c r="P210" s="9"/>
      <c r="Q210" s="9"/>
      <c r="R210" s="9"/>
      <c r="S210" s="7"/>
    </row>
    <row r="211" spans="1:19" x14ac:dyDescent="0.25">
      <c r="A211" s="8"/>
      <c r="B211" s="7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  <c r="O211" s="9"/>
      <c r="P211" s="9"/>
      <c r="Q211" s="9"/>
      <c r="R211" s="9"/>
      <c r="S211" s="7"/>
    </row>
    <row r="212" spans="1:19" x14ac:dyDescent="0.25">
      <c r="A212" s="8"/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  <c r="O212" s="9"/>
      <c r="P212" s="9"/>
      <c r="Q212" s="9"/>
      <c r="R212" s="9"/>
      <c r="S212" s="7"/>
    </row>
    <row r="213" spans="1:19" x14ac:dyDescent="0.25">
      <c r="A213" s="8"/>
      <c r="B213" s="7"/>
      <c r="C213" s="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  <c r="O213" s="9"/>
      <c r="P213" s="9"/>
      <c r="Q213" s="9"/>
      <c r="R213" s="9"/>
      <c r="S213" s="7"/>
    </row>
    <row r="214" spans="1:19" x14ac:dyDescent="0.25">
      <c r="A214" s="8"/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  <c r="O214" s="9"/>
      <c r="P214" s="9"/>
      <c r="Q214" s="9"/>
      <c r="R214" s="9"/>
      <c r="S214" s="7"/>
    </row>
    <row r="215" spans="1:19" x14ac:dyDescent="0.25">
      <c r="A215" s="8"/>
      <c r="B215" s="7"/>
      <c r="C215" s="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  <c r="O215" s="9"/>
      <c r="P215" s="9"/>
      <c r="Q215" s="9"/>
      <c r="R215" s="9"/>
      <c r="S215" s="7"/>
    </row>
    <row r="216" spans="1:19" x14ac:dyDescent="0.25">
      <c r="A216" s="8"/>
      <c r="B216" s="7"/>
      <c r="C216" s="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  <c r="O216" s="9"/>
      <c r="P216" s="9"/>
      <c r="Q216" s="9"/>
      <c r="R216" s="9"/>
      <c r="S216" s="7"/>
    </row>
    <row r="217" spans="1:19" x14ac:dyDescent="0.25">
      <c r="A217" s="8"/>
      <c r="B217" s="7"/>
      <c r="C217" s="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  <c r="O217" s="9"/>
      <c r="P217" s="9"/>
      <c r="Q217" s="9"/>
      <c r="R217" s="9"/>
      <c r="S217" s="7"/>
    </row>
    <row r="218" spans="1:19" x14ac:dyDescent="0.25">
      <c r="A218" s="8"/>
      <c r="B218" s="7"/>
      <c r="C218" s="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  <c r="O218" s="9"/>
      <c r="P218" s="9"/>
      <c r="Q218" s="9"/>
      <c r="R218" s="9"/>
      <c r="S218" s="7"/>
    </row>
    <row r="219" spans="1:19" x14ac:dyDescent="0.25">
      <c r="A219" s="8"/>
      <c r="B219" s="7"/>
      <c r="C219" s="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  <c r="O219" s="9"/>
      <c r="P219" s="9"/>
      <c r="Q219" s="9"/>
      <c r="R219" s="9"/>
      <c r="S219" s="7"/>
    </row>
    <row r="220" spans="1:19" x14ac:dyDescent="0.25">
      <c r="A220" s="8"/>
      <c r="B220" s="7"/>
      <c r="C220" s="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  <c r="O220" s="9"/>
      <c r="P220" s="9"/>
      <c r="Q220" s="9"/>
      <c r="R220" s="9"/>
      <c r="S220" s="7"/>
    </row>
    <row r="221" spans="1:19" x14ac:dyDescent="0.25">
      <c r="A221" s="8"/>
      <c r="B221" s="7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  <c r="O221" s="9"/>
      <c r="P221" s="9"/>
      <c r="Q221" s="9"/>
      <c r="R221" s="9"/>
      <c r="S221" s="7"/>
    </row>
    <row r="222" spans="1:19" x14ac:dyDescent="0.25">
      <c r="A222" s="8"/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  <c r="O222" s="9"/>
      <c r="P222" s="9"/>
      <c r="Q222" s="9"/>
      <c r="R222" s="9"/>
      <c r="S222" s="7"/>
    </row>
    <row r="223" spans="1:19" x14ac:dyDescent="0.25">
      <c r="A223" s="8"/>
      <c r="B223" s="7"/>
      <c r="C223" s="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  <c r="O223" s="9"/>
      <c r="P223" s="9"/>
      <c r="Q223" s="9"/>
      <c r="R223" s="9"/>
      <c r="S223" s="7"/>
    </row>
    <row r="224" spans="1:19" x14ac:dyDescent="0.25">
      <c r="A224" s="8"/>
      <c r="B224" s="7"/>
      <c r="C224" s="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  <c r="O224" s="9"/>
      <c r="P224" s="9"/>
      <c r="Q224" s="9"/>
      <c r="R224" s="9"/>
      <c r="S224" s="7"/>
    </row>
    <row r="225" spans="1:19" x14ac:dyDescent="0.25">
      <c r="A225" s="8"/>
      <c r="B225" s="7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  <c r="O225" s="9"/>
      <c r="P225" s="9"/>
      <c r="Q225" s="9"/>
      <c r="R225" s="9"/>
      <c r="S225" s="7"/>
    </row>
    <row r="226" spans="1:19" x14ac:dyDescent="0.25">
      <c r="A226" s="8"/>
      <c r="B226" s="7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  <c r="O226" s="9"/>
      <c r="P226" s="9"/>
      <c r="Q226" s="9"/>
      <c r="R226" s="9"/>
      <c r="S226" s="7"/>
    </row>
    <row r="227" spans="1:19" x14ac:dyDescent="0.25">
      <c r="A227" s="8"/>
      <c r="B227" s="7"/>
      <c r="C227" s="7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9"/>
      <c r="O227" s="9"/>
      <c r="P227" s="9"/>
      <c r="Q227" s="9"/>
      <c r="R227" s="9"/>
      <c r="S227" s="7"/>
    </row>
    <row r="228" spans="1:19" x14ac:dyDescent="0.25">
      <c r="A228" s="8"/>
      <c r="B228" s="7"/>
      <c r="C228" s="7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9"/>
      <c r="O228" s="9"/>
      <c r="P228" s="9"/>
      <c r="Q228" s="9"/>
      <c r="R228" s="9"/>
      <c r="S228" s="7"/>
    </row>
    <row r="229" spans="1:19" x14ac:dyDescent="0.25">
      <c r="A229" s="8"/>
      <c r="B229" s="7"/>
      <c r="C229" s="7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  <c r="O229" s="9"/>
      <c r="P229" s="9"/>
      <c r="Q229" s="9"/>
      <c r="R229" s="9"/>
      <c r="S229" s="7"/>
    </row>
    <row r="230" spans="1:19" x14ac:dyDescent="0.25">
      <c r="A230" s="8"/>
      <c r="B230" s="7"/>
      <c r="C230" s="7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9"/>
      <c r="O230" s="9"/>
      <c r="P230" s="9"/>
      <c r="Q230" s="9"/>
      <c r="R230" s="9"/>
      <c r="S230" s="7"/>
    </row>
    <row r="231" spans="1:19" x14ac:dyDescent="0.25">
      <c r="A231" s="8"/>
      <c r="B231" s="7"/>
      <c r="C231" s="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  <c r="O231" s="9"/>
      <c r="P231" s="9"/>
      <c r="Q231" s="9"/>
      <c r="R231" s="9"/>
      <c r="S231" s="7"/>
    </row>
    <row r="232" spans="1:19" x14ac:dyDescent="0.25">
      <c r="A232" s="8"/>
      <c r="B232" s="7"/>
      <c r="C232" s="7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  <c r="O232" s="9"/>
      <c r="P232" s="9"/>
      <c r="Q232" s="9"/>
      <c r="R232" s="9"/>
      <c r="S232" s="7"/>
    </row>
    <row r="233" spans="1:19" x14ac:dyDescent="0.25">
      <c r="A233" s="8"/>
      <c r="B233" s="7"/>
      <c r="C233" s="7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  <c r="O233" s="9"/>
      <c r="P233" s="9"/>
      <c r="Q233" s="9"/>
      <c r="R233" s="9"/>
      <c r="S233" s="7"/>
    </row>
    <row r="234" spans="1:19" x14ac:dyDescent="0.25">
      <c r="A234" s="8"/>
      <c r="B234" s="7"/>
      <c r="C234" s="7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  <c r="O234" s="9"/>
      <c r="P234" s="9"/>
      <c r="Q234" s="9"/>
      <c r="R234" s="9"/>
      <c r="S234" s="7"/>
    </row>
    <row r="235" spans="1:19" x14ac:dyDescent="0.25">
      <c r="A235" s="8"/>
      <c r="B235" s="7"/>
      <c r="C235" s="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  <c r="O235" s="9"/>
      <c r="P235" s="9"/>
      <c r="Q235" s="9"/>
      <c r="R235" s="9"/>
      <c r="S235" s="7"/>
    </row>
    <row r="236" spans="1:19" x14ac:dyDescent="0.25">
      <c r="A236" s="8"/>
      <c r="B236" s="7"/>
      <c r="C236" s="7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  <c r="O236" s="9"/>
      <c r="P236" s="9"/>
      <c r="Q236" s="9"/>
      <c r="R236" s="9"/>
      <c r="S236" s="7"/>
    </row>
    <row r="237" spans="1:19" x14ac:dyDescent="0.25">
      <c r="A237" s="8"/>
      <c r="B237" s="7"/>
      <c r="C237" s="7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9"/>
      <c r="O237" s="9"/>
      <c r="P237" s="9"/>
      <c r="Q237" s="9"/>
      <c r="R237" s="9"/>
      <c r="S237" s="7"/>
    </row>
    <row r="238" spans="1:19" x14ac:dyDescent="0.25">
      <c r="A238" s="8"/>
      <c r="B238" s="7"/>
      <c r="C238" s="7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  <c r="O238" s="9"/>
      <c r="P238" s="9"/>
      <c r="Q238" s="9"/>
      <c r="R238" s="9"/>
      <c r="S238" s="7"/>
    </row>
    <row r="239" spans="1:19" x14ac:dyDescent="0.25">
      <c r="A239" s="8"/>
      <c r="B239" s="7"/>
      <c r="C239" s="7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  <c r="O239" s="9"/>
      <c r="P239" s="9"/>
      <c r="Q239" s="9"/>
      <c r="R239" s="9"/>
      <c r="S239" s="7"/>
    </row>
    <row r="240" spans="1:19" x14ac:dyDescent="0.25">
      <c r="A240" s="8"/>
      <c r="B240" s="7"/>
      <c r="C240" s="7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  <c r="O240" s="9"/>
      <c r="P240" s="9"/>
      <c r="Q240" s="9"/>
      <c r="R240" s="9"/>
      <c r="S240" s="7"/>
    </row>
    <row r="241" spans="1:19" x14ac:dyDescent="0.25">
      <c r="A241" s="8"/>
      <c r="B241" s="7"/>
      <c r="C241" s="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  <c r="O241" s="9"/>
      <c r="P241" s="9"/>
      <c r="Q241" s="9"/>
      <c r="R241" s="9"/>
      <c r="S241" s="7"/>
    </row>
    <row r="242" spans="1:19" x14ac:dyDescent="0.25">
      <c r="A242" s="8"/>
      <c r="B242" s="7"/>
      <c r="C242" s="7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9"/>
      <c r="O242" s="9"/>
      <c r="P242" s="9"/>
      <c r="Q242" s="9"/>
      <c r="R242" s="9"/>
      <c r="S242" s="7"/>
    </row>
    <row r="243" spans="1:19" x14ac:dyDescent="0.25">
      <c r="A243" s="8"/>
      <c r="B243" s="7"/>
      <c r="C243" s="7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9"/>
      <c r="O243" s="9"/>
      <c r="P243" s="9"/>
      <c r="Q243" s="9"/>
      <c r="R243" s="9"/>
      <c r="S243" s="7"/>
    </row>
    <row r="244" spans="1:19" x14ac:dyDescent="0.25">
      <c r="A244" s="8"/>
      <c r="B244" s="7"/>
      <c r="C244" s="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9"/>
      <c r="O244" s="9"/>
      <c r="P244" s="9"/>
      <c r="Q244" s="9"/>
      <c r="R244" s="9"/>
      <c r="S244" s="7"/>
    </row>
    <row r="245" spans="1:19" x14ac:dyDescent="0.25">
      <c r="A245" s="8"/>
      <c r="B245" s="7"/>
      <c r="C245" s="7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  <c r="O245" s="9"/>
      <c r="P245" s="9"/>
      <c r="Q245" s="9"/>
      <c r="R245" s="9"/>
      <c r="S245" s="7"/>
    </row>
    <row r="246" spans="1:19" x14ac:dyDescent="0.25">
      <c r="A246" s="8"/>
      <c r="B246" s="7"/>
      <c r="C246" s="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9"/>
      <c r="O246" s="9"/>
      <c r="P246" s="9"/>
      <c r="Q246" s="9"/>
      <c r="R246" s="9"/>
      <c r="S246" s="7"/>
    </row>
    <row r="247" spans="1:19" x14ac:dyDescent="0.25">
      <c r="A247" s="8"/>
      <c r="B247" s="7"/>
      <c r="C247" s="7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  <c r="O247" s="9"/>
      <c r="P247" s="9"/>
      <c r="Q247" s="9"/>
      <c r="R247" s="9"/>
      <c r="S247" s="7"/>
    </row>
    <row r="248" spans="1:19" x14ac:dyDescent="0.25">
      <c r="A248" s="8"/>
      <c r="B248" s="7"/>
      <c r="C248" s="7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  <c r="O248" s="9"/>
      <c r="P248" s="9"/>
      <c r="Q248" s="9"/>
      <c r="R248" s="9"/>
      <c r="S248" s="7"/>
    </row>
    <row r="249" spans="1:19" x14ac:dyDescent="0.25">
      <c r="A249" s="8"/>
      <c r="B249" s="7"/>
      <c r="C249" s="7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9"/>
      <c r="O249" s="9"/>
      <c r="P249" s="9"/>
      <c r="Q249" s="9"/>
      <c r="R249" s="9"/>
      <c r="S249" s="7"/>
    </row>
    <row r="250" spans="1:19" x14ac:dyDescent="0.25">
      <c r="A250" s="8"/>
      <c r="B250" s="7"/>
      <c r="C250" s="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  <c r="O250" s="9"/>
      <c r="P250" s="9"/>
      <c r="Q250" s="9"/>
      <c r="R250" s="9"/>
      <c r="S250" s="7"/>
    </row>
    <row r="251" spans="1:19" x14ac:dyDescent="0.25">
      <c r="A251" s="8"/>
      <c r="B251" s="7"/>
      <c r="C251" s="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9"/>
      <c r="O251" s="9"/>
      <c r="P251" s="9"/>
      <c r="Q251" s="9"/>
      <c r="R251" s="9"/>
      <c r="S251" s="7"/>
    </row>
    <row r="252" spans="1:19" x14ac:dyDescent="0.25">
      <c r="A252" s="8"/>
      <c r="B252" s="7"/>
      <c r="C252" s="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9"/>
      <c r="O252" s="9"/>
      <c r="P252" s="9"/>
      <c r="Q252" s="9"/>
      <c r="R252" s="9"/>
      <c r="S252" s="7"/>
    </row>
    <row r="253" spans="1:19" x14ac:dyDescent="0.25">
      <c r="A253" s="8"/>
      <c r="B253" s="7"/>
      <c r="C253" s="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  <c r="O253" s="9"/>
      <c r="P253" s="9"/>
      <c r="Q253" s="9"/>
      <c r="R253" s="9"/>
      <c r="S253" s="7"/>
    </row>
    <row r="254" spans="1:19" x14ac:dyDescent="0.25">
      <c r="A254" s="8"/>
      <c r="B254" s="7"/>
      <c r="C254" s="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  <c r="O254" s="9"/>
      <c r="P254" s="9"/>
      <c r="Q254" s="9"/>
      <c r="R254" s="9"/>
      <c r="S254" s="7"/>
    </row>
    <row r="255" spans="1:19" x14ac:dyDescent="0.25">
      <c r="A255" s="8"/>
      <c r="B255" s="7"/>
      <c r="C255" s="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  <c r="O255" s="9"/>
      <c r="P255" s="9"/>
      <c r="Q255" s="9"/>
      <c r="R255" s="9"/>
      <c r="S255" s="7"/>
    </row>
    <row r="256" spans="1:19" x14ac:dyDescent="0.25">
      <c r="A256" s="8"/>
      <c r="B256" s="7"/>
      <c r="C256" s="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9"/>
      <c r="O256" s="9"/>
      <c r="P256" s="9"/>
      <c r="Q256" s="9"/>
      <c r="R256" s="9"/>
      <c r="S256" s="7"/>
    </row>
    <row r="257" spans="1:19" x14ac:dyDescent="0.25">
      <c r="A257" s="8"/>
      <c r="B257" s="7"/>
      <c r="C257" s="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  <c r="O257" s="9"/>
      <c r="P257" s="9"/>
      <c r="Q257" s="9"/>
      <c r="R257" s="9"/>
      <c r="S257" s="7"/>
    </row>
    <row r="258" spans="1:19" x14ac:dyDescent="0.25">
      <c r="A258" s="8"/>
      <c r="B258" s="7"/>
      <c r="C258" s="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9"/>
      <c r="O258" s="9"/>
      <c r="P258" s="9"/>
      <c r="Q258" s="9"/>
      <c r="R258" s="9"/>
      <c r="S258" s="7"/>
    </row>
    <row r="259" spans="1:19" x14ac:dyDescent="0.25">
      <c r="A259" s="8"/>
      <c r="B259" s="7"/>
      <c r="C259" s="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9"/>
      <c r="O259" s="9"/>
      <c r="P259" s="9"/>
      <c r="Q259" s="9"/>
      <c r="R259" s="9"/>
      <c r="S259" s="7"/>
    </row>
    <row r="260" spans="1:19" x14ac:dyDescent="0.25">
      <c r="A260" s="8"/>
      <c r="B260" s="7"/>
      <c r="C260" s="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9"/>
      <c r="O260" s="9"/>
      <c r="P260" s="9"/>
      <c r="Q260" s="9"/>
      <c r="R260" s="9"/>
      <c r="S260" s="7"/>
    </row>
    <row r="261" spans="1:19" x14ac:dyDescent="0.25">
      <c r="A261" s="8"/>
      <c r="B261" s="7"/>
      <c r="C261" s="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9"/>
      <c r="O261" s="9"/>
      <c r="P261" s="9"/>
      <c r="Q261" s="9"/>
      <c r="R261" s="9"/>
      <c r="S261" s="7"/>
    </row>
    <row r="262" spans="1:19" x14ac:dyDescent="0.25">
      <c r="A262" s="8"/>
      <c r="B262" s="7"/>
      <c r="C262" s="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  <c r="O262" s="9"/>
      <c r="P262" s="9"/>
      <c r="Q262" s="9"/>
      <c r="R262" s="9"/>
      <c r="S262" s="7"/>
    </row>
    <row r="263" spans="1:19" x14ac:dyDescent="0.25">
      <c r="A263" s="8"/>
      <c r="B263" s="7"/>
      <c r="C263" s="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  <c r="O263" s="9"/>
      <c r="P263" s="9"/>
      <c r="Q263" s="9"/>
      <c r="R263" s="9"/>
      <c r="S263" s="7"/>
    </row>
    <row r="264" spans="1:19" x14ac:dyDescent="0.25">
      <c r="A264" s="8"/>
      <c r="B264" s="7"/>
      <c r="C264" s="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  <c r="O264" s="9"/>
      <c r="P264" s="9"/>
      <c r="Q264" s="9"/>
      <c r="R264" s="9"/>
      <c r="S264" s="7"/>
    </row>
    <row r="265" spans="1:19" x14ac:dyDescent="0.25">
      <c r="A265" s="8"/>
      <c r="B265" s="7"/>
      <c r="C265" s="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9"/>
      <c r="O265" s="9"/>
      <c r="P265" s="9"/>
      <c r="Q265" s="9"/>
      <c r="R265" s="9"/>
      <c r="S265" s="7"/>
    </row>
    <row r="266" spans="1:19" x14ac:dyDescent="0.25">
      <c r="A266" s="8"/>
      <c r="B266" s="7"/>
      <c r="C266" s="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9"/>
      <c r="O266" s="9"/>
      <c r="P266" s="9"/>
      <c r="Q266" s="9"/>
      <c r="R266" s="9"/>
      <c r="S266" s="7"/>
    </row>
    <row r="267" spans="1:19" x14ac:dyDescent="0.25">
      <c r="A267" s="8"/>
      <c r="B267" s="7"/>
      <c r="C267" s="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  <c r="O267" s="9"/>
      <c r="P267" s="9"/>
      <c r="Q267" s="9"/>
      <c r="R267" s="9"/>
      <c r="S267" s="7"/>
    </row>
    <row r="268" spans="1:19" x14ac:dyDescent="0.25">
      <c r="A268" s="8"/>
      <c r="B268" s="7"/>
      <c r="C268" s="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  <c r="O268" s="9"/>
      <c r="P268" s="9"/>
      <c r="Q268" s="9"/>
      <c r="R268" s="9"/>
      <c r="S268" s="7"/>
    </row>
    <row r="269" spans="1:19" x14ac:dyDescent="0.25">
      <c r="A269" s="8"/>
      <c r="B269" s="7"/>
      <c r="C269" s="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9"/>
      <c r="O269" s="9"/>
      <c r="P269" s="9"/>
      <c r="Q269" s="9"/>
      <c r="R269" s="9"/>
      <c r="S269" s="7"/>
    </row>
    <row r="270" spans="1:19" x14ac:dyDescent="0.25">
      <c r="A270" s="8"/>
      <c r="B270" s="7"/>
      <c r="C270" s="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  <c r="O270" s="9"/>
      <c r="P270" s="9"/>
      <c r="Q270" s="9"/>
      <c r="R270" s="9"/>
      <c r="S270" s="7"/>
    </row>
    <row r="271" spans="1:19" x14ac:dyDescent="0.25">
      <c r="A271" s="8"/>
      <c r="B271" s="7"/>
      <c r="C271" s="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  <c r="O271" s="9"/>
      <c r="P271" s="9"/>
      <c r="Q271" s="9"/>
      <c r="R271" s="9"/>
      <c r="S271" s="7"/>
    </row>
    <row r="272" spans="1:19" x14ac:dyDescent="0.25">
      <c r="A272" s="8"/>
      <c r="B272" s="7"/>
      <c r="C272" s="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9"/>
      <c r="O272" s="9"/>
      <c r="P272" s="9"/>
      <c r="Q272" s="9"/>
      <c r="R272" s="9"/>
      <c r="S272" s="7"/>
    </row>
    <row r="273" spans="1:19" x14ac:dyDescent="0.25">
      <c r="A273" s="8"/>
      <c r="B273" s="7"/>
      <c r="C273" s="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  <c r="O273" s="9"/>
      <c r="P273" s="9"/>
      <c r="Q273" s="9"/>
      <c r="R273" s="9"/>
      <c r="S273" s="7"/>
    </row>
    <row r="274" spans="1:19" x14ac:dyDescent="0.25">
      <c r="A274" s="8"/>
      <c r="B274" s="7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9"/>
      <c r="O274" s="9"/>
      <c r="P274" s="9"/>
      <c r="Q274" s="9"/>
      <c r="R274" s="9"/>
      <c r="S274" s="7"/>
    </row>
    <row r="275" spans="1:19" x14ac:dyDescent="0.25">
      <c r="A275" s="8"/>
      <c r="B275" s="7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9"/>
      <c r="O275" s="9"/>
      <c r="P275" s="9"/>
      <c r="Q275" s="9"/>
      <c r="R275" s="9"/>
      <c r="S275" s="7"/>
    </row>
    <row r="276" spans="1:19" x14ac:dyDescent="0.25">
      <c r="A276" s="8"/>
      <c r="B276" s="7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9"/>
      <c r="O276" s="9"/>
      <c r="P276" s="9"/>
      <c r="Q276" s="9"/>
      <c r="R276" s="9"/>
      <c r="S276" s="7"/>
    </row>
    <row r="277" spans="1:19" x14ac:dyDescent="0.25">
      <c r="A277" s="8"/>
      <c r="B277" s="7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  <c r="O277" s="9"/>
      <c r="P277" s="9"/>
      <c r="Q277" s="9"/>
      <c r="R277" s="9"/>
      <c r="S277" s="7"/>
    </row>
    <row r="278" spans="1:19" x14ac:dyDescent="0.25">
      <c r="A278" s="8"/>
      <c r="B278" s="7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  <c r="O278" s="9"/>
      <c r="P278" s="9"/>
      <c r="Q278" s="9"/>
      <c r="R278" s="9"/>
      <c r="S278" s="7"/>
    </row>
    <row r="279" spans="1:19" x14ac:dyDescent="0.25">
      <c r="A279" s="8"/>
      <c r="B279" s="7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9"/>
      <c r="O279" s="9"/>
      <c r="P279" s="9"/>
      <c r="Q279" s="9"/>
      <c r="R279" s="9"/>
      <c r="S279" s="7"/>
    </row>
    <row r="280" spans="1:19" x14ac:dyDescent="0.25">
      <c r="A280" s="8"/>
      <c r="B280" s="7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  <c r="O280" s="9"/>
      <c r="P280" s="9"/>
      <c r="Q280" s="9"/>
      <c r="R280" s="9"/>
      <c r="S280" s="7"/>
    </row>
    <row r="281" spans="1:19" x14ac:dyDescent="0.25">
      <c r="A281" s="8"/>
      <c r="B281" s="7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9"/>
      <c r="O281" s="9"/>
      <c r="P281" s="9"/>
      <c r="Q281" s="9"/>
      <c r="R281" s="9"/>
      <c r="S281" s="7"/>
    </row>
    <row r="282" spans="1:19" x14ac:dyDescent="0.25">
      <c r="A282" s="8"/>
      <c r="B282" s="7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  <c r="O282" s="9"/>
      <c r="P282" s="9"/>
      <c r="Q282" s="9"/>
      <c r="R282" s="9"/>
      <c r="S282" s="7"/>
    </row>
    <row r="283" spans="1:19" x14ac:dyDescent="0.25">
      <c r="A283" s="8"/>
      <c r="B283" s="7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  <c r="O283" s="9"/>
      <c r="P283" s="9"/>
      <c r="Q283" s="9"/>
      <c r="R283" s="9"/>
      <c r="S283" s="7"/>
    </row>
    <row r="284" spans="1:19" x14ac:dyDescent="0.25">
      <c r="A284" s="8"/>
      <c r="B284" s="7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9"/>
      <c r="O284" s="9"/>
      <c r="P284" s="9"/>
      <c r="Q284" s="9"/>
      <c r="R284" s="9"/>
      <c r="S284" s="7"/>
    </row>
    <row r="285" spans="1:19" x14ac:dyDescent="0.25">
      <c r="A285" s="8"/>
      <c r="B285" s="7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  <c r="O285" s="9"/>
      <c r="P285" s="9"/>
      <c r="Q285" s="9"/>
      <c r="R285" s="9"/>
      <c r="S285" s="7"/>
    </row>
    <row r="286" spans="1:19" x14ac:dyDescent="0.25">
      <c r="A286" s="8"/>
      <c r="B286" s="7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9"/>
      <c r="O286" s="9"/>
      <c r="P286" s="9"/>
      <c r="Q286" s="9"/>
      <c r="R286" s="9"/>
      <c r="S286" s="7"/>
    </row>
    <row r="287" spans="1:19" x14ac:dyDescent="0.25">
      <c r="A287" s="8"/>
      <c r="B287" s="7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9"/>
      <c r="O287" s="9"/>
      <c r="P287" s="9"/>
      <c r="Q287" s="9"/>
      <c r="R287" s="9"/>
      <c r="S287" s="7"/>
    </row>
    <row r="288" spans="1:19" x14ac:dyDescent="0.25">
      <c r="A288" s="8"/>
      <c r="B288" s="7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9"/>
      <c r="O288" s="9"/>
      <c r="P288" s="9"/>
      <c r="Q288" s="9"/>
      <c r="R288" s="9"/>
      <c r="S288" s="7"/>
    </row>
    <row r="289" spans="1:18" x14ac:dyDescent="0.25">
      <c r="A289" s="8"/>
      <c r="B289" s="7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9"/>
      <c r="O289" s="9"/>
      <c r="P289" s="9"/>
      <c r="Q289" s="9"/>
      <c r="R289" s="9"/>
    </row>
    <row r="290" spans="1:18" x14ac:dyDescent="0.25">
      <c r="B290" s="7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9"/>
      <c r="O290" s="9"/>
      <c r="P290" s="9"/>
      <c r="Q290" s="9"/>
      <c r="R290" s="9"/>
    </row>
    <row r="291" spans="1:18" x14ac:dyDescent="0.25">
      <c r="B291" s="7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9"/>
      <c r="O291" s="9"/>
      <c r="P291" s="9"/>
      <c r="Q291" s="9"/>
      <c r="R291" s="9"/>
    </row>
  </sheetData>
  <sheetProtection selectLockedCells="1" selectUnlockedCells="1"/>
  <phoneticPr fontId="11" type="noConversion"/>
  <dataValidations count="1">
    <dataValidation type="list" allowBlank="1" showInputMessage="1" sqref="C7:C19 C23:C35 C53:C60 C74:C80 C64:C70 C42:C49 C93:C100 C84:C87 C119:C124 C128:C134 C138:C145 C148:C153 C157:C169 C173:C183 C111:C116" xr:uid="{F6BE8AD3-7F57-4E05-BDDD-148420F849A4}">
      <formula1>$M$2:$M$4</formula1>
    </dataValidation>
  </dataValidations>
  <pageMargins left="0.39374999999999999" right="0.39374999999999999" top="0.59027777777777779" bottom="0.59027777777777779" header="0.51180555555555551" footer="0.51180555555555551"/>
  <pageSetup paperSize="9" scale="78" firstPageNumber="0" orientation="landscape" verticalDpi="300" r:id="rId1"/>
  <headerFooter alignWithMargins="0"/>
  <rowBreaks count="1" manualBreakCount="1">
    <brk id="127" max="16383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8F35-9D01-47D8-85F5-C413213E6B32}">
  <sheetPr>
    <pageSetUpPr fitToPage="1"/>
  </sheetPr>
  <dimension ref="A1:S210"/>
  <sheetViews>
    <sheetView tabSelected="1" topLeftCell="C80" workbookViewId="0">
      <selection activeCell="T96" sqref="T96"/>
    </sheetView>
  </sheetViews>
  <sheetFormatPr defaultRowHeight="13.2" x14ac:dyDescent="0.25"/>
  <cols>
    <col min="1" max="1" width="6.109375" style="1" customWidth="1"/>
    <col min="2" max="2" width="36.44140625" customWidth="1"/>
    <col min="3" max="3" width="24.77734375" customWidth="1"/>
    <col min="4" max="4" width="5.44140625" style="1" customWidth="1"/>
    <col min="5" max="5" width="6.109375" style="1" customWidth="1"/>
    <col min="6" max="7" width="5.77734375" style="1" customWidth="1"/>
    <col min="8" max="8" width="5.44140625" style="1" customWidth="1"/>
    <col min="9" max="9" width="6.88671875" style="1" customWidth="1"/>
    <col min="10" max="10" width="6.44140625" style="1" customWidth="1"/>
    <col min="11" max="11" width="6" style="1" customWidth="1"/>
    <col min="12" max="12" width="7.109375" style="1" customWidth="1"/>
    <col min="13" max="13" width="10.44140625" style="1" customWidth="1"/>
    <col min="14" max="14" width="7.88671875" style="2" bestFit="1" customWidth="1"/>
    <col min="15" max="15" width="17.77734375" style="2" bestFit="1" customWidth="1"/>
    <col min="16" max="16" width="10.21875" style="2" bestFit="1" customWidth="1"/>
    <col min="17" max="17" width="8.44140625" style="2" customWidth="1"/>
    <col min="18" max="18" width="14.5546875" style="2" customWidth="1"/>
    <col min="19" max="19" width="6.109375" customWidth="1"/>
  </cols>
  <sheetData>
    <row r="1" spans="1:19" ht="22.8" x14ac:dyDescent="0.4">
      <c r="A1" s="3"/>
      <c r="C1" s="14" t="s">
        <v>98</v>
      </c>
    </row>
    <row r="2" spans="1:19" x14ac:dyDescent="0.25">
      <c r="L2" s="48" t="s">
        <v>66</v>
      </c>
      <c r="M2" s="48"/>
      <c r="N2" s="48"/>
    </row>
    <row r="3" spans="1:19" ht="15.6" x14ac:dyDescent="0.3">
      <c r="C3" s="4" t="s">
        <v>20</v>
      </c>
      <c r="D3"/>
      <c r="E3"/>
      <c r="J3"/>
      <c r="L3" s="48" t="s">
        <v>18</v>
      </c>
      <c r="M3" s="48"/>
      <c r="N3" s="48"/>
    </row>
    <row r="4" spans="1:19" ht="15.6" x14ac:dyDescent="0.3">
      <c r="C4" s="4"/>
      <c r="D4"/>
      <c r="E4"/>
      <c r="J4"/>
      <c r="L4" s="48" t="s">
        <v>67</v>
      </c>
      <c r="M4" s="48"/>
      <c r="N4" s="48"/>
    </row>
    <row r="5" spans="1:19" x14ac:dyDescent="0.25">
      <c r="A5" s="6"/>
      <c r="B5" s="6" t="s">
        <v>52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8"/>
    </row>
    <row r="6" spans="1:19" x14ac:dyDescent="0.25">
      <c r="A6" s="8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19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7"/>
    </row>
    <row r="7" spans="1:19" ht="14.4" x14ac:dyDescent="0.3">
      <c r="A7" s="15">
        <v>1</v>
      </c>
      <c r="B7" s="19" t="s">
        <v>69</v>
      </c>
      <c r="C7" s="19" t="s">
        <v>66</v>
      </c>
      <c r="D7" s="8"/>
      <c r="E7" s="8"/>
      <c r="F7" s="8"/>
      <c r="G7" s="8"/>
      <c r="H7" s="8"/>
      <c r="I7" s="8"/>
      <c r="J7" s="8">
        <v>1</v>
      </c>
      <c r="K7" s="8"/>
      <c r="L7" s="8">
        <v>1</v>
      </c>
      <c r="M7" s="8">
        <f>SUM(Tabulka65[[#This Row],[V]:[KPČ]])</f>
        <v>2</v>
      </c>
      <c r="N7" s="9">
        <v>3.6469907407407409E-2</v>
      </c>
      <c r="O7" s="9">
        <f>VLOOKUP(Tabulka65[[#This Row],[jméno, příjmení, rok narození]],Allv0[[jméno, příjmení, rok narození]:[Vlastní]],3,FALSE)</f>
        <v>1.5277777777777699E-2</v>
      </c>
      <c r="P7" s="9">
        <f>Tabulka65[[#This Row],[cíl]]-Tabulka65[[#This Row],[start]]</f>
        <v>2.119212962962971E-2</v>
      </c>
      <c r="Q7" s="9"/>
      <c r="R7" s="9">
        <f>P7+TIME(0,M7,0)-Q7</f>
        <v>2.2581018518518597E-2</v>
      </c>
      <c r="S7" s="11"/>
    </row>
    <row r="8" spans="1:19" ht="14.4" x14ac:dyDescent="0.3">
      <c r="A8" s="15">
        <v>2</v>
      </c>
      <c r="B8" s="19" t="s">
        <v>50</v>
      </c>
      <c r="C8" s="19" t="s">
        <v>67</v>
      </c>
      <c r="D8" s="8"/>
      <c r="E8" s="8">
        <v>1</v>
      </c>
      <c r="F8" s="8">
        <v>2</v>
      </c>
      <c r="G8" s="8"/>
      <c r="H8" s="8"/>
      <c r="I8" s="8"/>
      <c r="J8" s="8">
        <v>1</v>
      </c>
      <c r="K8" s="8">
        <v>1</v>
      </c>
      <c r="L8" s="8">
        <v>4</v>
      </c>
      <c r="M8" s="8">
        <f>SUM(Tabulka65[[#This Row],[V]:[KPČ]])</f>
        <v>9</v>
      </c>
      <c r="N8" s="9">
        <v>3.1944444444444442E-2</v>
      </c>
      <c r="O8" s="9">
        <f>VLOOKUP(Tabulka65[[#This Row],[jméno, příjmení, rok narození]],Allv0[[jméno, příjmení, rok narození]:[Vlastní]],3,FALSE)</f>
        <v>1.3194444444444399E-2</v>
      </c>
      <c r="P8" s="9">
        <f>Tabulka65[[#This Row],[cíl]]-Tabulka65[[#This Row],[start]]</f>
        <v>1.8750000000000044E-2</v>
      </c>
      <c r="Q8" s="9"/>
      <c r="R8" s="9">
        <f>P8+TIME(0,M8,0)-Q8</f>
        <v>2.5000000000000043E-2</v>
      </c>
      <c r="S8" s="11"/>
    </row>
    <row r="9" spans="1:19" ht="14.4" x14ac:dyDescent="0.3">
      <c r="A9" s="15">
        <v>3</v>
      </c>
      <c r="B9" s="19" t="s">
        <v>22</v>
      </c>
      <c r="C9" s="19" t="s">
        <v>66</v>
      </c>
      <c r="D9" s="8"/>
      <c r="E9" s="8"/>
      <c r="F9" s="8"/>
      <c r="G9" s="8">
        <v>2</v>
      </c>
      <c r="H9" s="8"/>
      <c r="I9" s="8">
        <v>2</v>
      </c>
      <c r="J9" s="8">
        <v>1</v>
      </c>
      <c r="K9" s="8"/>
      <c r="L9" s="8"/>
      <c r="M9" s="8">
        <f>SUM(Tabulka65[[#This Row],[V]:[KPČ]])</f>
        <v>5</v>
      </c>
      <c r="N9" s="9">
        <v>4.4097222222222225E-2</v>
      </c>
      <c r="O9" s="9">
        <f>VLOOKUP(Tabulka65[[#This Row],[jméno, příjmení, rok narození]],Allv0[[jméno, příjmení, rok narození]:[Vlastní]],3,FALSE)</f>
        <v>2.1527777777777701E-2</v>
      </c>
      <c r="P9" s="9">
        <f>Tabulka65[[#This Row],[cíl]]-Tabulka65[[#This Row],[start]]</f>
        <v>2.2569444444444524E-2</v>
      </c>
      <c r="Q9" s="9"/>
      <c r="R9" s="9">
        <f>P9+TIME(0,M9,0)-Q9</f>
        <v>2.6041666666666748E-2</v>
      </c>
      <c r="S9" s="11"/>
    </row>
    <row r="10" spans="1:19" ht="14.4" x14ac:dyDescent="0.3">
      <c r="A10" s="15">
        <v>4</v>
      </c>
      <c r="B10" s="19" t="s">
        <v>71</v>
      </c>
      <c r="C10" s="19" t="s">
        <v>66</v>
      </c>
      <c r="D10" s="8"/>
      <c r="E10" s="8"/>
      <c r="F10" s="8"/>
      <c r="G10" s="8">
        <v>3</v>
      </c>
      <c r="H10" s="8"/>
      <c r="I10" s="8"/>
      <c r="J10" s="8">
        <v>1</v>
      </c>
      <c r="K10" s="8">
        <v>4</v>
      </c>
      <c r="L10" s="8">
        <v>1</v>
      </c>
      <c r="M10" s="8">
        <f>SUM(Tabulka65[[#This Row],[V]:[KPČ]])</f>
        <v>9</v>
      </c>
      <c r="N10" s="9">
        <v>4.2407407407407408E-2</v>
      </c>
      <c r="O10" s="9">
        <f>VLOOKUP(Tabulka65[[#This Row],[jméno, příjmení, rok narození]],Allv0[[jméno, příjmení, rok narození]:[Vlastní]],3,FALSE)</f>
        <v>1.94444444444444E-2</v>
      </c>
      <c r="P10" s="9">
        <f>Tabulka65[[#This Row],[cíl]]-Tabulka65[[#This Row],[start]]</f>
        <v>2.2962962962963008E-2</v>
      </c>
      <c r="Q10" s="9"/>
      <c r="R10" s="9">
        <f>P10+TIME(0,M10,0)-Q10</f>
        <v>2.921296296296301E-2</v>
      </c>
      <c r="S10" s="11"/>
    </row>
    <row r="11" spans="1:19" ht="14.4" x14ac:dyDescent="0.3">
      <c r="A11" s="15">
        <v>5</v>
      </c>
      <c r="B11" s="19" t="s">
        <v>70</v>
      </c>
      <c r="C11" s="19" t="s">
        <v>66</v>
      </c>
      <c r="D11" s="8"/>
      <c r="E11" s="8"/>
      <c r="F11" s="8"/>
      <c r="G11" s="8">
        <v>3</v>
      </c>
      <c r="H11" s="8"/>
      <c r="I11" s="8"/>
      <c r="J11" s="8">
        <v>5</v>
      </c>
      <c r="K11" s="8">
        <v>2</v>
      </c>
      <c r="L11" s="8"/>
      <c r="M11" s="8">
        <f>SUM(Tabulka65[[#This Row],[V]:[KPČ]])</f>
        <v>10</v>
      </c>
      <c r="N11" s="9">
        <v>4.4074074074074071E-2</v>
      </c>
      <c r="O11" s="9">
        <f>VLOOKUP(Tabulka65[[#This Row],[jméno, příjmení, rok narození]],Allv0[[jméno, příjmení, rok narození]:[Vlastní]],3,FALSE)</f>
        <v>1.7361111111111101E-2</v>
      </c>
      <c r="P11" s="9">
        <f>Tabulka65[[#This Row],[cíl]]-Tabulka65[[#This Row],[start]]</f>
        <v>2.671296296296297E-2</v>
      </c>
      <c r="Q11" s="9"/>
      <c r="R11" s="9">
        <f>P11+TIME(0,M11,0)-Q11</f>
        <v>3.3657407407407414E-2</v>
      </c>
      <c r="S11" s="11"/>
    </row>
    <row r="12" spans="1:19" x14ac:dyDescent="0.25">
      <c r="A12" s="8"/>
      <c r="B12" s="7"/>
      <c r="C12" s="7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/>
      <c r="Q12" s="9"/>
      <c r="R12" s="9"/>
      <c r="S12" s="11"/>
    </row>
    <row r="13" spans="1:19" x14ac:dyDescent="0.25">
      <c r="A13" s="6"/>
      <c r="B13" s="6" t="s">
        <v>53</v>
      </c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/>
      <c r="Q13" s="9"/>
      <c r="R13" s="9"/>
      <c r="S13" s="7"/>
    </row>
    <row r="14" spans="1:19" x14ac:dyDescent="0.25">
      <c r="A14" s="8" t="s">
        <v>0</v>
      </c>
      <c r="B14" s="7" t="s">
        <v>1</v>
      </c>
      <c r="C14" s="7" t="s">
        <v>2</v>
      </c>
      <c r="D14" s="8" t="s">
        <v>3</v>
      </c>
      <c r="E14" s="8" t="s">
        <v>4</v>
      </c>
      <c r="F14" s="8" t="s">
        <v>5</v>
      </c>
      <c r="G14" s="8" t="s">
        <v>6</v>
      </c>
      <c r="H14" s="8" t="s">
        <v>7</v>
      </c>
      <c r="I14" s="8" t="s">
        <v>19</v>
      </c>
      <c r="J14" s="8" t="s">
        <v>8</v>
      </c>
      <c r="K14" s="8" t="s">
        <v>9</v>
      </c>
      <c r="L14" s="8" t="s">
        <v>10</v>
      </c>
      <c r="M14" s="8" t="s">
        <v>11</v>
      </c>
      <c r="N14" s="9" t="s">
        <v>12</v>
      </c>
      <c r="O14" s="9" t="s">
        <v>13</v>
      </c>
      <c r="P14" s="9" t="s">
        <v>14</v>
      </c>
      <c r="Q14" s="9" t="s">
        <v>15</v>
      </c>
      <c r="R14" s="9" t="s">
        <v>16</v>
      </c>
      <c r="S14" s="7"/>
    </row>
    <row r="15" spans="1:19" ht="15.6" x14ac:dyDescent="0.3">
      <c r="A15" s="15">
        <v>1</v>
      </c>
      <c r="B15" s="23" t="s">
        <v>43</v>
      </c>
      <c r="C15" s="19" t="s">
        <v>67</v>
      </c>
      <c r="D15" s="8"/>
      <c r="E15" s="8"/>
      <c r="F15" s="8"/>
      <c r="G15" s="8">
        <v>1</v>
      </c>
      <c r="H15" s="8"/>
      <c r="I15" s="8"/>
      <c r="J15" s="8"/>
      <c r="K15" s="8"/>
      <c r="L15" s="8"/>
      <c r="M15" s="8">
        <f>SUM(Tabulka731[[#This Row],[V]:[KPČ]])</f>
        <v>1</v>
      </c>
      <c r="N15" s="9">
        <v>3.7083333333333336E-2</v>
      </c>
      <c r="O15" s="9">
        <f>VLOOKUP(Tabulka731[[#This Row],[jméno, příjmení, rok narození]],Allv0[[jméno, příjmení, rok narození]:[Vlastní]],3,FALSE)</f>
        <v>2.36111111111111E-2</v>
      </c>
      <c r="P15" s="9">
        <f>Tabulka731[[#This Row],[cíl]]-Tabulka731[[#This Row],[start]]</f>
        <v>1.3472222222222236E-2</v>
      </c>
      <c r="Q15" s="9"/>
      <c r="R15" s="9">
        <f t="shared" ref="R15:R17" si="0">P15+TIME(0,M15,0)-Q15</f>
        <v>1.416666666666668E-2</v>
      </c>
      <c r="S15" s="10"/>
    </row>
    <row r="16" spans="1:19" ht="14.4" x14ac:dyDescent="0.3">
      <c r="A16" s="15">
        <v>2</v>
      </c>
      <c r="B16" s="19" t="s">
        <v>24</v>
      </c>
      <c r="C16" s="19" t="s">
        <v>66</v>
      </c>
      <c r="D16" s="8"/>
      <c r="E16" s="8"/>
      <c r="F16" s="8"/>
      <c r="G16" s="8">
        <v>1</v>
      </c>
      <c r="H16" s="8"/>
      <c r="I16" s="8"/>
      <c r="J16" s="8"/>
      <c r="K16" s="8">
        <v>2</v>
      </c>
      <c r="L16" s="8"/>
      <c r="M16" s="8">
        <f>SUM(Tabulka731[[#This Row],[V]:[KPČ]])</f>
        <v>3</v>
      </c>
      <c r="N16" s="9">
        <v>4.3055555555555555E-2</v>
      </c>
      <c r="O16" s="9">
        <f>VLOOKUP(Tabulka731[[#This Row],[jméno, příjmení, rok narození]],Allv0[[jméno, příjmení, rok narození]:[Vlastní]],3,FALSE)</f>
        <v>2.5694444444444402E-2</v>
      </c>
      <c r="P16" s="9">
        <f>Tabulka731[[#This Row],[cíl]]-Tabulka731[[#This Row],[start]]</f>
        <v>1.7361111111111154E-2</v>
      </c>
      <c r="Q16" s="9"/>
      <c r="R16" s="9">
        <f t="shared" si="0"/>
        <v>1.9444444444444486E-2</v>
      </c>
      <c r="S16" s="10"/>
    </row>
    <row r="17" spans="1:19" ht="14.4" x14ac:dyDescent="0.3">
      <c r="A17" s="15">
        <v>3</v>
      </c>
      <c r="B17" s="19" t="s">
        <v>26</v>
      </c>
      <c r="C17" s="19" t="s">
        <v>66</v>
      </c>
      <c r="D17" s="8"/>
      <c r="E17" s="8"/>
      <c r="F17" s="8"/>
      <c r="G17" s="8">
        <v>2</v>
      </c>
      <c r="H17" s="8"/>
      <c r="I17" s="8">
        <v>1</v>
      </c>
      <c r="J17" s="8">
        <v>1</v>
      </c>
      <c r="K17" s="8">
        <v>1</v>
      </c>
      <c r="L17" s="8"/>
      <c r="M17" s="8">
        <f>SUM(Tabulka731[[#This Row],[V]:[KPČ]])</f>
        <v>5</v>
      </c>
      <c r="N17" s="9">
        <v>4.9004629629629627E-2</v>
      </c>
      <c r="O17" s="9">
        <f>VLOOKUP(Tabulka731[[#This Row],[jméno, příjmení, rok narození]],Allv0[[jméno, příjmení, rok narození]:[Vlastní]],3,FALSE)</f>
        <v>2.77777777777777E-2</v>
      </c>
      <c r="P17" s="9">
        <f>Tabulka731[[#This Row],[cíl]]-Tabulka731[[#This Row],[start]]</f>
        <v>2.1226851851851927E-2</v>
      </c>
      <c r="Q17" s="9"/>
      <c r="R17" s="9">
        <f t="shared" si="0"/>
        <v>2.4699074074074151E-2</v>
      </c>
      <c r="S17" s="7"/>
    </row>
    <row r="18" spans="1:19" ht="15.6" x14ac:dyDescent="0.25">
      <c r="A18" s="8"/>
      <c r="B18" s="13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7"/>
    </row>
    <row r="19" spans="1:19" ht="15.6" x14ac:dyDescent="0.25">
      <c r="A19" s="8"/>
      <c r="B19" s="13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7"/>
    </row>
    <row r="20" spans="1:19" x14ac:dyDescent="0.25">
      <c r="A20" s="6"/>
      <c r="B20" s="6" t="s">
        <v>54</v>
      </c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11"/>
    </row>
    <row r="21" spans="1:19" x14ac:dyDescent="0.25">
      <c r="A21" s="8" t="s">
        <v>0</v>
      </c>
      <c r="B21" s="7" t="s">
        <v>1</v>
      </c>
      <c r="C21" s="7" t="s">
        <v>2</v>
      </c>
      <c r="D21" s="8" t="s">
        <v>3</v>
      </c>
      <c r="E21" s="8" t="s">
        <v>4</v>
      </c>
      <c r="F21" s="8" t="s">
        <v>5</v>
      </c>
      <c r="G21" s="8" t="s">
        <v>6</v>
      </c>
      <c r="H21" s="8" t="s">
        <v>7</v>
      </c>
      <c r="I21" s="8" t="s">
        <v>19</v>
      </c>
      <c r="J21" s="8" t="s">
        <v>8</v>
      </c>
      <c r="K21" s="8" t="s">
        <v>9</v>
      </c>
      <c r="L21" s="8" t="s">
        <v>10</v>
      </c>
      <c r="M21" s="8" t="s">
        <v>11</v>
      </c>
      <c r="N21" s="9" t="s">
        <v>12</v>
      </c>
      <c r="O21" s="9" t="s">
        <v>13</v>
      </c>
      <c r="P21" s="9" t="s">
        <v>14</v>
      </c>
      <c r="Q21" s="9" t="s">
        <v>15</v>
      </c>
      <c r="R21" s="9" t="s">
        <v>16</v>
      </c>
      <c r="S21" s="7"/>
    </row>
    <row r="22" spans="1:19" ht="14.4" x14ac:dyDescent="0.3">
      <c r="A22" s="15">
        <v>1</v>
      </c>
      <c r="B22" s="20" t="s">
        <v>21</v>
      </c>
      <c r="C22" s="19" t="s">
        <v>66</v>
      </c>
      <c r="D22" s="8">
        <v>2</v>
      </c>
      <c r="E22" s="8"/>
      <c r="F22" s="8"/>
      <c r="G22" s="8"/>
      <c r="H22" s="8"/>
      <c r="I22" s="8"/>
      <c r="J22" s="8"/>
      <c r="K22" s="8"/>
      <c r="L22" s="8"/>
      <c r="M22" s="8">
        <f>SUM(Tabulka2032[[#This Row],[V]:[KPČ]])</f>
        <v>2</v>
      </c>
      <c r="N22" s="9">
        <v>3.5231481481481482E-2</v>
      </c>
      <c r="O22" s="9">
        <f>VLOOKUP(Tabulka2032[[#This Row],[jméno, příjmení, rok narození]],Allv0[[jméno, příjmení, rok narození]:[Vlastní]],3,FALSE)</f>
        <v>1.4583333333333301E-2</v>
      </c>
      <c r="P22" s="9">
        <f>Tabulka2032[[#This Row],[cíl]]-Tabulka2032[[#This Row],[start]]</f>
        <v>2.0648148148148179E-2</v>
      </c>
      <c r="Q22" s="9"/>
      <c r="R22" s="9">
        <f>P22+TIME(0,M22,0)-Q22</f>
        <v>2.2037037037037067E-2</v>
      </c>
      <c r="S22" s="7"/>
    </row>
    <row r="23" spans="1:19" ht="14.4" x14ac:dyDescent="0.3">
      <c r="A23" s="15">
        <v>2</v>
      </c>
      <c r="B23" t="s">
        <v>44</v>
      </c>
      <c r="C23" s="19" t="s">
        <v>67</v>
      </c>
      <c r="D23" s="8"/>
      <c r="E23" s="8">
        <v>1</v>
      </c>
      <c r="F23" s="8"/>
      <c r="G23" s="8">
        <v>1</v>
      </c>
      <c r="H23" s="8"/>
      <c r="I23" s="8"/>
      <c r="J23" s="8">
        <v>2</v>
      </c>
      <c r="K23" s="8"/>
      <c r="L23" s="8">
        <v>2</v>
      </c>
      <c r="M23" s="8">
        <f>SUM(Tabulka2032[[#This Row],[V]:[KPČ]])</f>
        <v>6</v>
      </c>
      <c r="N23" s="9">
        <v>2.5046296296296296E-2</v>
      </c>
      <c r="O23" s="9">
        <f>VLOOKUP(Tabulka2032[[#This Row],[jméno, příjmení, rok narození]],Allv0[[jméno, příjmení, rok narození]:[Vlastní]],3,FALSE)</f>
        <v>6.9444444444444397E-3</v>
      </c>
      <c r="P23" s="9">
        <f>Tabulka2032[[#This Row],[cíl]]-Tabulka2032[[#This Row],[start]]</f>
        <v>1.8101851851851855E-2</v>
      </c>
      <c r="Q23" s="9"/>
      <c r="R23" s="9">
        <f>P23+TIME(0,M23,0)-Q23</f>
        <v>2.2268518518518521E-2</v>
      </c>
      <c r="S23" s="7"/>
    </row>
    <row r="24" spans="1:19" ht="14.4" x14ac:dyDescent="0.3">
      <c r="A24" s="15">
        <v>3</v>
      </c>
      <c r="B24" s="19" t="s">
        <v>27</v>
      </c>
      <c r="C24" s="19" t="s">
        <v>66</v>
      </c>
      <c r="D24" s="8"/>
      <c r="E24" s="8"/>
      <c r="F24" s="8"/>
      <c r="G24" s="8">
        <v>2</v>
      </c>
      <c r="H24" s="8"/>
      <c r="I24" s="8">
        <v>1</v>
      </c>
      <c r="J24" s="8"/>
      <c r="K24" s="8">
        <v>1</v>
      </c>
      <c r="L24" s="8"/>
      <c r="M24" s="8">
        <f>SUM(Tabulka2032[[#This Row],[V]:[KPČ]])</f>
        <v>4</v>
      </c>
      <c r="N24" s="9">
        <v>4.1006944444444443E-2</v>
      </c>
      <c r="O24" s="9">
        <f>VLOOKUP(Tabulka2032[[#This Row],[jméno, příjmení, rok narození]],Allv0[[jméno, příjmení, rok narození]:[Vlastní]],3,FALSE)</f>
        <v>1.2500000000000001E-2</v>
      </c>
      <c r="P24" s="9">
        <f>Tabulka2032[[#This Row],[cíl]]-Tabulka2032[[#This Row],[start]]</f>
        <v>2.8506944444444442E-2</v>
      </c>
      <c r="Q24" s="9"/>
      <c r="R24" s="9">
        <f>P24+TIME(0,M24,0)-Q24</f>
        <v>3.1284722222222221E-2</v>
      </c>
      <c r="S24" s="7"/>
    </row>
    <row r="25" spans="1:19" ht="14.4" x14ac:dyDescent="0.3">
      <c r="A25" s="15">
        <v>4</v>
      </c>
      <c r="B25" s="20" t="s">
        <v>35</v>
      </c>
      <c r="C25" s="19" t="s">
        <v>18</v>
      </c>
      <c r="D25" s="8"/>
      <c r="E25" s="8"/>
      <c r="F25" s="8"/>
      <c r="G25" s="8">
        <v>3</v>
      </c>
      <c r="H25" s="8"/>
      <c r="I25" s="8">
        <v>2</v>
      </c>
      <c r="J25" s="8">
        <v>6</v>
      </c>
      <c r="K25" s="8">
        <v>2</v>
      </c>
      <c r="L25" s="8">
        <v>1</v>
      </c>
      <c r="M25" s="8">
        <f>SUM(Tabulka2032[[#This Row],[V]:[KPČ]])</f>
        <v>14</v>
      </c>
      <c r="N25" s="9">
        <v>6.4282407407407413E-2</v>
      </c>
      <c r="O25" s="9">
        <f>VLOOKUP(Tabulka2032[[#This Row],[jméno, příjmení, rok narození]],Allv0[[jméno, příjmení, rok narození]:[Vlastní]],3,FALSE)</f>
        <v>3.6111111111111101E-2</v>
      </c>
      <c r="P25" s="9">
        <f>Tabulka2032[[#This Row],[cíl]]-Tabulka2032[[#This Row],[start]]</f>
        <v>2.8171296296296312E-2</v>
      </c>
      <c r="Q25" s="9">
        <v>1.1574074074074075E-4</v>
      </c>
      <c r="R25" s="9">
        <f>P25+TIME(0,M25,0)-Q25</f>
        <v>3.7777777777777792E-2</v>
      </c>
      <c r="S25" s="7"/>
    </row>
    <row r="26" spans="1:19" ht="14.4" x14ac:dyDescent="0.3">
      <c r="A26" s="15">
        <v>5</v>
      </c>
      <c r="B26" t="s">
        <v>23</v>
      </c>
      <c r="C26" s="19" t="s">
        <v>66</v>
      </c>
      <c r="D26" s="8">
        <v>2</v>
      </c>
      <c r="E26" s="8"/>
      <c r="F26" s="8"/>
      <c r="G26" s="8">
        <v>3</v>
      </c>
      <c r="H26" s="8"/>
      <c r="I26" s="8">
        <v>1</v>
      </c>
      <c r="J26" s="8"/>
      <c r="K26" s="8">
        <v>2</v>
      </c>
      <c r="L26" s="8"/>
      <c r="M26" s="8">
        <f>SUM(Tabulka2032[[#This Row],[V]:[KPČ]])</f>
        <v>8</v>
      </c>
      <c r="N26" s="9">
        <v>5.1921296296296299E-2</v>
      </c>
      <c r="O26" s="9">
        <f>VLOOKUP(Tabulka2032[[#This Row],[jméno, příjmení, rok narození]],Allv0[[jméno, příjmení, rok narození]:[Vlastní]],3,FALSE)</f>
        <v>1.8749999999999999E-2</v>
      </c>
      <c r="P26" s="9">
        <f>Tabulka2032[[#This Row],[cíl]]-Tabulka2032[[#This Row],[start]]</f>
        <v>3.3171296296296296E-2</v>
      </c>
      <c r="Q26" s="9"/>
      <c r="R26" s="9">
        <f>P26+TIME(0,M26,0)-Q26</f>
        <v>3.8726851851851853E-2</v>
      </c>
      <c r="S26" s="7"/>
    </row>
    <row r="27" spans="1:19" x14ac:dyDescent="0.25">
      <c r="A27" s="8"/>
      <c r="B27" s="7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/>
      <c r="Q27" s="9"/>
      <c r="R27" s="9"/>
      <c r="S27" s="11"/>
    </row>
    <row r="28" spans="1:19" x14ac:dyDescent="0.25">
      <c r="A28" s="6"/>
      <c r="B28" s="6" t="s">
        <v>55</v>
      </c>
      <c r="C28" s="7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/>
      <c r="Q28" s="9"/>
      <c r="R28" s="9"/>
      <c r="S28" s="7"/>
    </row>
    <row r="29" spans="1:19" x14ac:dyDescent="0.25">
      <c r="A29" s="8" t="s">
        <v>0</v>
      </c>
      <c r="B29" s="7" t="s">
        <v>1</v>
      </c>
      <c r="C29" s="7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19</v>
      </c>
      <c r="J29" s="8" t="s">
        <v>8</v>
      </c>
      <c r="K29" s="8" t="s">
        <v>9</v>
      </c>
      <c r="L29" s="8" t="s">
        <v>10</v>
      </c>
      <c r="M29" s="8" t="s">
        <v>11</v>
      </c>
      <c r="N29" s="9" t="s">
        <v>12</v>
      </c>
      <c r="O29" s="9" t="s">
        <v>13</v>
      </c>
      <c r="P29" s="9" t="s">
        <v>14</v>
      </c>
      <c r="Q29" s="9" t="s">
        <v>15</v>
      </c>
      <c r="R29" s="9" t="s">
        <v>16</v>
      </c>
      <c r="S29" s="7"/>
    </row>
    <row r="30" spans="1:19" ht="14.4" x14ac:dyDescent="0.3">
      <c r="A30" s="15">
        <v>1</v>
      </c>
      <c r="B30" s="19" t="s">
        <v>25</v>
      </c>
      <c r="C30" s="19" t="s">
        <v>66</v>
      </c>
      <c r="D30" s="8">
        <v>2</v>
      </c>
      <c r="E30" s="49"/>
      <c r="F30" s="8"/>
      <c r="G30" s="8">
        <v>2</v>
      </c>
      <c r="H30" s="8"/>
      <c r="I30" s="8"/>
      <c r="J30" s="8"/>
      <c r="K30" s="8">
        <v>2</v>
      </c>
      <c r="L30" s="8">
        <v>1</v>
      </c>
      <c r="M30" s="8">
        <f>SUM(Tabulka86[[#This Row],[V]:[KPČ]])</f>
        <v>7</v>
      </c>
      <c r="N30" s="9">
        <v>5.3831018518518521E-2</v>
      </c>
      <c r="O30" s="9">
        <f>VLOOKUP(Tabulka86[[#This Row],[jméno, příjmení, rok narození]],Allv0[[jméno, příjmení, rok narození]:[Vlastní]],3,FALSE)</f>
        <v>3.2638888888888801E-2</v>
      </c>
      <c r="P30" s="9">
        <f>Tabulka86[[#This Row],[cíl]]-Tabulka86[[#This Row],[start]]</f>
        <v>2.119212962962972E-2</v>
      </c>
      <c r="Q30" s="9"/>
      <c r="R30" s="9">
        <f>P30+TIME(0,M30,0)-Q30</f>
        <v>2.6053240740740832E-2</v>
      </c>
      <c r="S30" s="8"/>
    </row>
    <row r="31" spans="1:19" ht="14.4" x14ac:dyDescent="0.3">
      <c r="A31" s="15">
        <v>2</v>
      </c>
      <c r="B31" s="19" t="s">
        <v>72</v>
      </c>
      <c r="C31" s="19" t="s">
        <v>66</v>
      </c>
      <c r="D31" s="8"/>
      <c r="E31" s="8"/>
      <c r="F31" s="8"/>
      <c r="G31" s="8">
        <v>1</v>
      </c>
      <c r="H31" s="8"/>
      <c r="I31" s="8">
        <v>1</v>
      </c>
      <c r="J31" s="8"/>
      <c r="K31" s="8">
        <v>2</v>
      </c>
      <c r="L31" s="8">
        <v>1</v>
      </c>
      <c r="M31" s="8">
        <f>SUM(Tabulka86[[#This Row],[V]:[KPČ]])</f>
        <v>5</v>
      </c>
      <c r="N31" s="9">
        <v>5.395833333333333E-2</v>
      </c>
      <c r="O31" s="9">
        <f>VLOOKUP(Tabulka86[[#This Row],[jméno, příjmení, rok narození]],Allv0[[jméno, příjmení, rok narození]:[Vlastní]],3,FALSE)</f>
        <v>2.9861111111111099E-2</v>
      </c>
      <c r="P31" s="9">
        <f>Tabulka86[[#This Row],[cíl]]-Tabulka86[[#This Row],[start]]</f>
        <v>2.4097222222222232E-2</v>
      </c>
      <c r="Q31" s="9"/>
      <c r="R31" s="9">
        <f>P31+TIME(0,M31,0)-Q31</f>
        <v>2.7569444444444452E-2</v>
      </c>
      <c r="S31" s="11"/>
    </row>
    <row r="32" spans="1:19" ht="14.4" x14ac:dyDescent="0.3">
      <c r="A32" s="15">
        <v>3</v>
      </c>
      <c r="B32" s="19" t="s">
        <v>48</v>
      </c>
      <c r="C32" s="19" t="s">
        <v>66</v>
      </c>
      <c r="D32" s="8"/>
      <c r="E32" s="8"/>
      <c r="F32" s="8"/>
      <c r="G32" s="8">
        <v>2</v>
      </c>
      <c r="H32" s="8"/>
      <c r="I32" s="8"/>
      <c r="J32" s="8">
        <v>1</v>
      </c>
      <c r="K32" s="8">
        <v>5</v>
      </c>
      <c r="L32" s="8"/>
      <c r="M32" s="8">
        <f>SUM(Tabulka86[[#This Row],[V]:[KPČ]])</f>
        <v>8</v>
      </c>
      <c r="N32" s="9">
        <v>7.1261574074074074E-2</v>
      </c>
      <c r="O32" s="9">
        <f>VLOOKUP(Tabulka86[[#This Row],[jméno, příjmení, rok narození]],Allv0[[jméno, příjmení, rok narození]:[Vlastní]],3,FALSE)</f>
        <v>3.4027777777777699E-2</v>
      </c>
      <c r="P32" s="9">
        <f>Tabulka86[[#This Row],[cíl]]-Tabulka86[[#This Row],[start]]</f>
        <v>3.7233796296296376E-2</v>
      </c>
      <c r="Q32" s="9"/>
      <c r="R32" s="9">
        <f>P32+TIME(0,M32,0)-Q32</f>
        <v>4.2789351851851933E-2</v>
      </c>
      <c r="S32" s="11"/>
    </row>
    <row r="33" spans="1:19" x14ac:dyDescent="0.25">
      <c r="A33" s="8"/>
      <c r="C33" s="7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/>
      <c r="Q33" s="9"/>
      <c r="R33" s="9"/>
      <c r="S33" s="11"/>
    </row>
    <row r="34" spans="1:19" x14ac:dyDescent="0.25">
      <c r="A34" s="6"/>
      <c r="B34" s="6" t="s">
        <v>56</v>
      </c>
      <c r="C34" s="7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/>
      <c r="Q34" s="9"/>
      <c r="R34" s="9"/>
      <c r="S34" s="11"/>
    </row>
    <row r="35" spans="1:19" x14ac:dyDescent="0.25">
      <c r="A35" s="8" t="s">
        <v>0</v>
      </c>
      <c r="B35" s="7" t="s">
        <v>1</v>
      </c>
      <c r="C35" s="7" t="s">
        <v>2</v>
      </c>
      <c r="D35" s="8" t="s">
        <v>3</v>
      </c>
      <c r="E35" s="8" t="s">
        <v>4</v>
      </c>
      <c r="F35" s="8" t="s">
        <v>5</v>
      </c>
      <c r="G35" s="8" t="s">
        <v>6</v>
      </c>
      <c r="H35" s="8" t="s">
        <v>7</v>
      </c>
      <c r="I35" s="8" t="s">
        <v>19</v>
      </c>
      <c r="J35" s="8" t="s">
        <v>8</v>
      </c>
      <c r="K35" s="8" t="s">
        <v>9</v>
      </c>
      <c r="L35" s="8" t="s">
        <v>10</v>
      </c>
      <c r="M35" s="8" t="s">
        <v>11</v>
      </c>
      <c r="N35" s="9" t="s">
        <v>12</v>
      </c>
      <c r="O35" s="9" t="s">
        <v>13</v>
      </c>
      <c r="P35" s="9" t="s">
        <v>14</v>
      </c>
      <c r="Q35" s="9" t="s">
        <v>15</v>
      </c>
      <c r="R35" s="9" t="s">
        <v>16</v>
      </c>
      <c r="S35" s="7"/>
    </row>
    <row r="36" spans="1:19" ht="14.4" x14ac:dyDescent="0.3">
      <c r="A36" s="15">
        <v>1</v>
      </c>
      <c r="B36" s="45" t="s">
        <v>100</v>
      </c>
      <c r="C36" s="19" t="s">
        <v>18</v>
      </c>
      <c r="D36" s="8"/>
      <c r="E36" s="8">
        <v>1</v>
      </c>
      <c r="F36" s="8"/>
      <c r="G36" s="8">
        <v>3</v>
      </c>
      <c r="H36" s="8"/>
      <c r="I36" s="8"/>
      <c r="J36" s="8">
        <v>1</v>
      </c>
      <c r="K36" s="8">
        <v>2</v>
      </c>
      <c r="L36" s="8">
        <v>1</v>
      </c>
      <c r="M36" s="8">
        <f>SUM(Tabulka919[[#This Row],[V]:[KPČ]])</f>
        <v>8</v>
      </c>
      <c r="N36" s="9">
        <v>3.726851851851852E-2</v>
      </c>
      <c r="O36" s="9">
        <f>VLOOKUP(Tabulka919[[#This Row],[jméno, příjmení, rok narození]],Allv0[[jméno, příjmení, rok narození]:[Vlastní]],3,FALSE)</f>
        <v>9.7222222222222206E-3</v>
      </c>
      <c r="P36" s="9">
        <f>Tabulka919[[#This Row],[cíl]]-Tabulka919[[#This Row],[start]]</f>
        <v>2.7546296296296298E-2</v>
      </c>
      <c r="Q36" s="9"/>
      <c r="R36" s="9">
        <f>P36+TIME(0,M36,0)-Q36</f>
        <v>3.3101851851851855E-2</v>
      </c>
      <c r="S36" s="7"/>
    </row>
    <row r="37" spans="1:19" x14ac:dyDescent="0.25">
      <c r="A37" s="8"/>
      <c r="B37" s="7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11"/>
    </row>
    <row r="38" spans="1:19" x14ac:dyDescent="0.25">
      <c r="A38"/>
      <c r="B38" s="17" t="s">
        <v>57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 s="11"/>
    </row>
    <row r="39" spans="1:19" x14ac:dyDescent="0.25">
      <c r="A39" s="16" t="s">
        <v>0</v>
      </c>
      <c r="B39" t="s">
        <v>1</v>
      </c>
      <c r="C39" t="s">
        <v>2</v>
      </c>
      <c r="D39" t="s">
        <v>3</v>
      </c>
      <c r="E39" t="s">
        <v>4</v>
      </c>
      <c r="F39" t="s">
        <v>5</v>
      </c>
      <c r="G39" t="s">
        <v>6</v>
      </c>
      <c r="H39" t="s">
        <v>7</v>
      </c>
      <c r="I39" t="s">
        <v>19</v>
      </c>
      <c r="J39" t="s">
        <v>8</v>
      </c>
      <c r="K39" t="s">
        <v>9</v>
      </c>
      <c r="L39" t="s">
        <v>10</v>
      </c>
      <c r="M39" t="s">
        <v>11</v>
      </c>
      <c r="N39" t="s">
        <v>12</v>
      </c>
      <c r="O39" t="s">
        <v>13</v>
      </c>
      <c r="P39" t="s">
        <v>14</v>
      </c>
      <c r="Q39" t="s">
        <v>15</v>
      </c>
      <c r="R39" t="s">
        <v>16</v>
      </c>
      <c r="S39" s="11"/>
    </row>
    <row r="40" spans="1:19" ht="13.2" customHeight="1" x14ac:dyDescent="0.3">
      <c r="A40" s="50">
        <v>1</v>
      </c>
      <c r="B40" s="19" t="s">
        <v>28</v>
      </c>
      <c r="C40" s="19" t="s">
        <v>66</v>
      </c>
      <c r="D40"/>
      <c r="E40"/>
      <c r="F40"/>
      <c r="G40">
        <v>1</v>
      </c>
      <c r="H40"/>
      <c r="I40"/>
      <c r="J40"/>
      <c r="K40"/>
      <c r="L40"/>
      <c r="M40">
        <f>SUM(Tabulka1930[[#This Row],[V]:[KPČ]])</f>
        <v>1</v>
      </c>
      <c r="N40" s="9">
        <v>4.8252314814814817E-2</v>
      </c>
      <c r="O40" s="9">
        <f>VLOOKUP(Tabulka1930[[#This Row],[jméno, příjmení, rok narození]],Allv0[[jméno, příjmení, rok narození]:[Vlastní]],3,FALSE)</f>
        <v>3.125E-2</v>
      </c>
      <c r="P40" s="9">
        <f>Tabulka1930[[#This Row],[cíl]]-Tabulka1930[[#This Row],[start]]</f>
        <v>1.7002314814814817E-2</v>
      </c>
      <c r="Q40" s="22"/>
      <c r="R40" s="9">
        <f>P40+TIME(0,M40,0)-Q40</f>
        <v>1.7696759259259263E-2</v>
      </c>
      <c r="S40" s="11"/>
    </row>
    <row r="41" spans="1:19" ht="14.4" customHeight="1" x14ac:dyDescent="0.25">
      <c r="A41" s="50">
        <v>2</v>
      </c>
      <c r="B41" t="s">
        <v>47</v>
      </c>
      <c r="C41" t="s">
        <v>18</v>
      </c>
      <c r="D41"/>
      <c r="E41"/>
      <c r="F41"/>
      <c r="G41">
        <v>1</v>
      </c>
      <c r="H41"/>
      <c r="I41"/>
      <c r="J41"/>
      <c r="K41"/>
      <c r="L41"/>
      <c r="M41">
        <f>SUM(Tabulka1930[[#This Row],[V]:[KPČ]])</f>
        <v>1</v>
      </c>
      <c r="N41" s="9">
        <v>2.6064814814814815E-2</v>
      </c>
      <c r="O41" s="9">
        <f>VLOOKUP(Tabulka1930[[#This Row],[jméno, příjmení, rok narození]],Allv0[[jméno, příjmení, rok narození]:[Vlastní]],3,FALSE)</f>
        <v>4.1666666666666597E-3</v>
      </c>
      <c r="P41" s="9">
        <f>Tabulka1930[[#This Row],[cíl]]-Tabulka1930[[#This Row],[start]]</f>
        <v>2.1898148148148156E-2</v>
      </c>
      <c r="Q41"/>
      <c r="R41" s="9">
        <f>P41+TIME(0,M41,0)-Q41</f>
        <v>2.2592592592592602E-2</v>
      </c>
      <c r="S41" s="11"/>
    </row>
    <row r="42" spans="1:19" ht="14.4" x14ac:dyDescent="0.3">
      <c r="A42" s="50">
        <v>3</v>
      </c>
      <c r="B42" s="19" t="s">
        <v>30</v>
      </c>
      <c r="C42" s="19" t="s">
        <v>66</v>
      </c>
      <c r="D42">
        <v>2</v>
      </c>
      <c r="F42"/>
      <c r="G42">
        <v>1</v>
      </c>
      <c r="H42"/>
      <c r="I42"/>
      <c r="J42"/>
      <c r="K42"/>
      <c r="L42"/>
      <c r="M42">
        <f>SUM(Tabulka1930[[#This Row],[V]:[KPČ]])</f>
        <v>3</v>
      </c>
      <c r="N42" s="9">
        <v>4.162037037037037E-2</v>
      </c>
      <c r="O42" s="9">
        <f>VLOOKUP(Tabulka1930[[#This Row],[jméno, příjmení, rok narození]],Allv0[[jméno, příjmení, rok narození]:[Vlastní]],3,FALSE)</f>
        <v>2.0833333333333301E-2</v>
      </c>
      <c r="P42" s="9">
        <f>Tabulka1930[[#This Row],[cíl]]-Tabulka1930[[#This Row],[start]]</f>
        <v>2.0787037037037069E-2</v>
      </c>
      <c r="Q42"/>
      <c r="R42" s="9">
        <f>P42+TIME(0,M42,0)-Q42</f>
        <v>2.2870370370370402E-2</v>
      </c>
      <c r="S42" s="11"/>
    </row>
    <row r="43" spans="1:19" ht="14.4" customHeight="1" x14ac:dyDescent="0.25">
      <c r="A43" s="50">
        <v>4</v>
      </c>
      <c r="B43" t="s">
        <v>51</v>
      </c>
      <c r="C43" t="s">
        <v>67</v>
      </c>
      <c r="D43">
        <v>2</v>
      </c>
      <c r="F43"/>
      <c r="G43">
        <v>2</v>
      </c>
      <c r="H43"/>
      <c r="I43">
        <v>2</v>
      </c>
      <c r="J43">
        <v>4</v>
      </c>
      <c r="K43">
        <v>3</v>
      </c>
      <c r="L43">
        <v>5</v>
      </c>
      <c r="M43">
        <f>SUM(Tabulka1930[[#This Row],[V]:[KPČ]])</f>
        <v>18</v>
      </c>
      <c r="N43" s="9">
        <v>4.0810185185185185E-2</v>
      </c>
      <c r="O43" s="9">
        <f>VLOOKUP(Tabulka1930[[#This Row],[jméno, příjmení, rok narození]],Allv0[[jméno, příjmení, rok narození]:[Vlastní]],3,FALSE)</f>
        <v>1.0416666666666701E-2</v>
      </c>
      <c r="P43" s="9">
        <f>Tabulka1930[[#This Row],[cíl]]-Tabulka1930[[#This Row],[start]]</f>
        <v>3.0393518518518486E-2</v>
      </c>
      <c r="Q43"/>
      <c r="R43" s="9">
        <f>P43+TIME(0,M43,0)-Q43</f>
        <v>4.2893518518518484E-2</v>
      </c>
      <c r="S43" s="11"/>
    </row>
    <row r="44" spans="1:19" ht="13.2" customHeight="1" x14ac:dyDescent="0.3">
      <c r="A44" s="50">
        <v>5</v>
      </c>
      <c r="B44" s="19" t="s">
        <v>73</v>
      </c>
      <c r="C44" s="19" t="s">
        <v>66</v>
      </c>
      <c r="D44">
        <v>2</v>
      </c>
      <c r="E44"/>
      <c r="F44"/>
      <c r="G44">
        <v>3</v>
      </c>
      <c r="H44"/>
      <c r="I44">
        <v>1</v>
      </c>
      <c r="J44">
        <v>3</v>
      </c>
      <c r="K44">
        <v>5</v>
      </c>
      <c r="L44">
        <v>1</v>
      </c>
      <c r="M44">
        <f>SUM(Tabulka1930[[#This Row],[V]:[KPČ]])</f>
        <v>15</v>
      </c>
      <c r="N44" s="9">
        <v>7.5729166666666667E-2</v>
      </c>
      <c r="O44" s="9">
        <f>VLOOKUP(Tabulka1930[[#This Row],[jméno, příjmení, rok narození]],Allv0[[jméno, příjmení, rok narození]:[Vlastní]],3,FALSE)</f>
        <v>3.5416666666666603E-2</v>
      </c>
      <c r="P44" s="9">
        <f>Tabulka1930[[#This Row],[cíl]]-Tabulka1930[[#This Row],[start]]</f>
        <v>4.0312500000000064E-2</v>
      </c>
      <c r="Q44" s="22"/>
      <c r="R44" s="9">
        <f>P44+TIME(0,M44,0)-Q44</f>
        <v>5.0729166666666728E-2</v>
      </c>
      <c r="S44" s="11"/>
    </row>
    <row r="45" spans="1:19" x14ac:dyDescent="0.25">
      <c r="A45" s="8"/>
      <c r="D45"/>
      <c r="E45"/>
      <c r="F45"/>
      <c r="G45"/>
      <c r="H45"/>
      <c r="I45"/>
      <c r="J45"/>
      <c r="K45"/>
      <c r="L45"/>
      <c r="M45"/>
      <c r="N45" s="9"/>
      <c r="O45" s="9"/>
      <c r="P45" s="9"/>
      <c r="Q45"/>
      <c r="R45" s="9"/>
      <c r="S45" s="8"/>
    </row>
    <row r="46" spans="1:19" x14ac:dyDescent="0.25">
      <c r="A46" s="6"/>
      <c r="B46" s="6" t="s">
        <v>58</v>
      </c>
      <c r="C46" s="7"/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/>
      <c r="P46" s="9"/>
      <c r="Q46" s="9"/>
      <c r="R46" s="9"/>
      <c r="S46" s="8"/>
    </row>
    <row r="47" spans="1:19" x14ac:dyDescent="0.25">
      <c r="A47" s="8" t="s">
        <v>0</v>
      </c>
      <c r="B47" s="7" t="s">
        <v>1</v>
      </c>
      <c r="C47" s="7" t="s">
        <v>2</v>
      </c>
      <c r="D47" s="8" t="s">
        <v>3</v>
      </c>
      <c r="E47" s="8" t="s">
        <v>4</v>
      </c>
      <c r="F47" s="8" t="s">
        <v>5</v>
      </c>
      <c r="G47" s="8" t="s">
        <v>6</v>
      </c>
      <c r="H47" s="8" t="s">
        <v>7</v>
      </c>
      <c r="I47" s="8" t="s">
        <v>19</v>
      </c>
      <c r="J47" s="8" t="s">
        <v>8</v>
      </c>
      <c r="K47" s="8" t="s">
        <v>9</v>
      </c>
      <c r="L47" s="8" t="s">
        <v>10</v>
      </c>
      <c r="M47" s="8" t="s">
        <v>11</v>
      </c>
      <c r="N47" s="9" t="s">
        <v>12</v>
      </c>
      <c r="O47" s="9" t="s">
        <v>13</v>
      </c>
      <c r="P47" s="9" t="s">
        <v>14</v>
      </c>
      <c r="Q47" s="9" t="s">
        <v>15</v>
      </c>
      <c r="R47" s="9" t="s">
        <v>16</v>
      </c>
      <c r="S47" s="8"/>
    </row>
    <row r="48" spans="1:19" ht="14.4" x14ac:dyDescent="0.3">
      <c r="A48" s="15">
        <v>1</v>
      </c>
      <c r="B48" s="20" t="s">
        <v>29</v>
      </c>
      <c r="C48" s="19" t="s">
        <v>66</v>
      </c>
      <c r="D48" s="8"/>
      <c r="E48" s="8"/>
      <c r="F48" s="8"/>
      <c r="G48" s="8">
        <v>3</v>
      </c>
      <c r="H48" s="8"/>
      <c r="I48" s="8"/>
      <c r="J48" s="8"/>
      <c r="K48" s="8">
        <v>4</v>
      </c>
      <c r="L48" s="8">
        <v>1</v>
      </c>
      <c r="M48" s="8">
        <f>SUM(Tabulka1123[[#This Row],[V]:[KPČ]])</f>
        <v>8</v>
      </c>
      <c r="N48" s="9">
        <v>7.1157407407407405E-2</v>
      </c>
      <c r="O48" s="9">
        <f>VLOOKUP(Tabulka1123[[#This Row],[jméno, příjmení, rok narození]],Allv0[[jméno, příjmení, rok narození]:[Vlastní]],3,FALSE)</f>
        <v>1.6666666666666601E-2</v>
      </c>
      <c r="P48" s="9">
        <f>Tabulka1123[[#This Row],[cíl]]-Tabulka1123[[#This Row],[start]]</f>
        <v>5.4490740740740805E-2</v>
      </c>
      <c r="Q48" s="9"/>
      <c r="R48" s="9">
        <f>P48+TIME(0,M48,0)-Q48</f>
        <v>6.0046296296296361E-2</v>
      </c>
      <c r="S48" s="8"/>
    </row>
    <row r="49" spans="1:19" ht="14.4" x14ac:dyDescent="0.3">
      <c r="A49" s="8"/>
      <c r="B49" s="20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9"/>
      <c r="S49" s="8"/>
    </row>
    <row r="50" spans="1:19" x14ac:dyDescent="0.25">
      <c r="A50" s="6"/>
      <c r="B50" s="6" t="s">
        <v>59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7"/>
    </row>
    <row r="51" spans="1:19" x14ac:dyDescent="0.25">
      <c r="A51" s="8" t="s">
        <v>0</v>
      </c>
      <c r="B51" s="7" t="s">
        <v>1</v>
      </c>
      <c r="C51" s="7" t="s">
        <v>2</v>
      </c>
      <c r="D51" s="8" t="s">
        <v>3</v>
      </c>
      <c r="E51" s="8" t="s">
        <v>4</v>
      </c>
      <c r="F51" s="8" t="s">
        <v>5</v>
      </c>
      <c r="G51" s="8" t="s">
        <v>6</v>
      </c>
      <c r="H51" s="8" t="s">
        <v>7</v>
      </c>
      <c r="I51" s="8" t="s">
        <v>19</v>
      </c>
      <c r="J51" s="8" t="s">
        <v>8</v>
      </c>
      <c r="K51" s="8" t="s">
        <v>9</v>
      </c>
      <c r="L51" s="8" t="s">
        <v>10</v>
      </c>
      <c r="M51" s="8" t="s">
        <v>11</v>
      </c>
      <c r="N51" s="9" t="s">
        <v>12</v>
      </c>
      <c r="O51" s="9" t="s">
        <v>13</v>
      </c>
      <c r="P51" s="9" t="s">
        <v>14</v>
      </c>
      <c r="Q51" s="9" t="s">
        <v>15</v>
      </c>
      <c r="R51" s="9" t="s">
        <v>16</v>
      </c>
      <c r="S51" s="7"/>
    </row>
    <row r="52" spans="1:19" ht="14.4" x14ac:dyDescent="0.3">
      <c r="A52" s="15">
        <v>1</v>
      </c>
      <c r="B52" s="19" t="s">
        <v>46</v>
      </c>
      <c r="C52" s="19" t="s">
        <v>67</v>
      </c>
      <c r="D52" s="8"/>
      <c r="E52" s="8"/>
      <c r="F52" s="8"/>
      <c r="G52" s="8">
        <v>3</v>
      </c>
      <c r="H52" s="8"/>
      <c r="I52" s="8"/>
      <c r="J52" s="8">
        <v>1</v>
      </c>
      <c r="K52" s="8">
        <v>1</v>
      </c>
      <c r="L52" s="8"/>
      <c r="M52" s="8">
        <f>SUM(Tabulka1022[[#This Row],[V]:[KPČ]])</f>
        <v>5</v>
      </c>
      <c r="N52" s="9">
        <v>6.3969907407407406E-2</v>
      </c>
      <c r="O52" s="9">
        <f>VLOOKUP(Tabulka1022[[#This Row],[jméno, příjmení, rok narození]],Allv0[[jméno, příjmení, rok narození]:[Vlastní]],3,FALSE)</f>
        <v>3.4722222222222203E-2</v>
      </c>
      <c r="P52" s="9">
        <f>Tabulka1022[[#This Row],[cíl]]-Tabulka1022[[#This Row],[start]]</f>
        <v>2.9247685185185203E-2</v>
      </c>
      <c r="Q52" s="9"/>
      <c r="R52" s="9">
        <f t="shared" ref="R52:R53" si="1">P52+TIME(0,M52,0)-Q52</f>
        <v>3.2719907407407427E-2</v>
      </c>
      <c r="S52" s="7"/>
    </row>
    <row r="53" spans="1:19" x14ac:dyDescent="0.25">
      <c r="A53" s="15">
        <v>2</v>
      </c>
      <c r="B53" t="s">
        <v>102</v>
      </c>
      <c r="C53" s="7" t="s">
        <v>18</v>
      </c>
      <c r="D53" s="8"/>
      <c r="E53" s="8"/>
      <c r="F53" s="8">
        <v>2</v>
      </c>
      <c r="G53" s="8">
        <v>1</v>
      </c>
      <c r="H53" s="8">
        <v>20</v>
      </c>
      <c r="I53" s="8">
        <v>1</v>
      </c>
      <c r="J53" s="8">
        <v>9</v>
      </c>
      <c r="K53" s="8">
        <v>5</v>
      </c>
      <c r="L53" s="8">
        <v>8</v>
      </c>
      <c r="M53" s="8">
        <f>SUM(Tabulka1022[[#This Row],[V]:[KPČ]])</f>
        <v>46</v>
      </c>
      <c r="N53" s="9">
        <v>4.611111111111111E-2</v>
      </c>
      <c r="O53" s="9">
        <f>VLOOKUP(Tabulka1022[[#This Row],[jméno, příjmení, rok narození]],Allv0[[jméno, příjmení, rok narození]:[Vlastní]],3,FALSE)</f>
        <v>1.38888888888888E-2</v>
      </c>
      <c r="P53" s="9">
        <f>Tabulka1022[[#This Row],[cíl]]-Tabulka1022[[#This Row],[start]]</f>
        <v>3.2222222222222312E-2</v>
      </c>
      <c r="Q53" s="9"/>
      <c r="R53" s="9">
        <f t="shared" si="1"/>
        <v>6.4166666666666761E-2</v>
      </c>
      <c r="S53" s="7"/>
    </row>
    <row r="54" spans="1:19" x14ac:dyDescent="0.25">
      <c r="A54" s="8"/>
      <c r="B54" s="7"/>
      <c r="C54" s="7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7"/>
    </row>
    <row r="55" spans="1:19" x14ac:dyDescent="0.25">
      <c r="A55" s="6"/>
      <c r="B55" s="6" t="s">
        <v>60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7"/>
    </row>
    <row r="56" spans="1:19" x14ac:dyDescent="0.25">
      <c r="A56" s="8" t="s">
        <v>0</v>
      </c>
      <c r="B56" s="7" t="s">
        <v>1</v>
      </c>
      <c r="C56" s="7" t="s">
        <v>2</v>
      </c>
      <c r="D56" s="8" t="s">
        <v>3</v>
      </c>
      <c r="E56" s="8" t="s">
        <v>4</v>
      </c>
      <c r="F56" s="8" t="s">
        <v>5</v>
      </c>
      <c r="G56" s="8" t="s">
        <v>6</v>
      </c>
      <c r="H56" s="8" t="s">
        <v>7</v>
      </c>
      <c r="I56" s="8" t="s">
        <v>19</v>
      </c>
      <c r="J56" s="8" t="s">
        <v>8</v>
      </c>
      <c r="K56" s="8" t="s">
        <v>9</v>
      </c>
      <c r="L56" s="8" t="s">
        <v>10</v>
      </c>
      <c r="M56" s="8" t="s">
        <v>11</v>
      </c>
      <c r="N56" s="9" t="s">
        <v>12</v>
      </c>
      <c r="O56" s="9" t="s">
        <v>13</v>
      </c>
      <c r="P56" s="9" t="s">
        <v>14</v>
      </c>
      <c r="Q56" s="9" t="s">
        <v>15</v>
      </c>
      <c r="R56" s="9" t="s">
        <v>16</v>
      </c>
      <c r="S56" s="7"/>
    </row>
    <row r="57" spans="1:19" ht="14.4" x14ac:dyDescent="0.3">
      <c r="A57" s="15">
        <v>1</v>
      </c>
      <c r="B57" t="s">
        <v>38</v>
      </c>
      <c r="C57" s="19" t="s">
        <v>18</v>
      </c>
      <c r="D57" s="8"/>
      <c r="E57" s="8"/>
      <c r="F57" s="8"/>
      <c r="G57" s="8">
        <v>1</v>
      </c>
      <c r="H57" s="8"/>
      <c r="I57" s="8"/>
      <c r="J57" s="8"/>
      <c r="K57" s="8">
        <v>2</v>
      </c>
      <c r="L57" s="8">
        <v>1</v>
      </c>
      <c r="M57" s="8">
        <f>SUM(Tabulka1224[[#This Row],[V]:[KPČ]])</f>
        <v>4</v>
      </c>
      <c r="N57" s="9">
        <v>7.4594907407407401E-2</v>
      </c>
      <c r="O57" s="9">
        <f>VLOOKUP(Tabulka1224[[#This Row],[jméno, příjmení, rok narození]],Allv0[[jméno, příjmení, rok narození]:[Vlastní]],3,FALSE)</f>
        <v>3.7499999999999999E-2</v>
      </c>
      <c r="P57" s="9">
        <f>Tabulka1224[[#This Row],[cíl]]-Tabulka1224[[#This Row],[start]]</f>
        <v>3.7094907407407403E-2</v>
      </c>
      <c r="Q57" s="9"/>
      <c r="R57" s="9">
        <f>P57+TIME(0,M57,0)-Q57</f>
        <v>3.9872685185185178E-2</v>
      </c>
      <c r="S57" s="7"/>
    </row>
    <row r="58" spans="1:19" ht="14.4" x14ac:dyDescent="0.3">
      <c r="A58" s="15">
        <v>2</v>
      </c>
      <c r="B58" t="s">
        <v>93</v>
      </c>
      <c r="C58" s="19" t="s">
        <v>18</v>
      </c>
      <c r="D58" s="8">
        <v>2</v>
      </c>
      <c r="E58" s="8"/>
      <c r="F58" s="8"/>
      <c r="G58" s="8">
        <v>1</v>
      </c>
      <c r="H58" s="8"/>
      <c r="I58" s="8"/>
      <c r="J58" s="8">
        <v>1</v>
      </c>
      <c r="K58" s="8">
        <v>1</v>
      </c>
      <c r="L58" s="8">
        <v>3</v>
      </c>
      <c r="M58" s="8">
        <f>SUM(Tabulka1224[[#This Row],[V]:[KPČ]])</f>
        <v>8</v>
      </c>
      <c r="N58" s="9">
        <v>3.7962962962962962E-2</v>
      </c>
      <c r="O58" s="9">
        <f>VLOOKUP(Tabulka1224[[#This Row],[jméno, příjmení, rok narození]],Allv0[[jméno, příjmení, rok narození]:[Vlastní]],3,FALSE)</f>
        <v>2.7777777777777701E-3</v>
      </c>
      <c r="P58" s="9">
        <f>Tabulka1224[[#This Row],[cíl]]-Tabulka1224[[#This Row],[start]]</f>
        <v>3.5185185185185194E-2</v>
      </c>
      <c r="Q58" s="9"/>
      <c r="R58" s="9">
        <f>P58+TIME(0,M58,0)-Q58</f>
        <v>4.0740740740740751E-2</v>
      </c>
      <c r="S58" s="7"/>
    </row>
    <row r="59" spans="1:19" ht="14.4" x14ac:dyDescent="0.3">
      <c r="A59" s="15">
        <v>3</v>
      </c>
      <c r="B59" t="s">
        <v>36</v>
      </c>
      <c r="C59" s="19" t="s">
        <v>18</v>
      </c>
      <c r="D59" s="8">
        <v>1</v>
      </c>
      <c r="E59" s="8"/>
      <c r="F59" s="8"/>
      <c r="G59" s="8">
        <v>3</v>
      </c>
      <c r="H59" s="8"/>
      <c r="I59" s="8"/>
      <c r="J59" s="8">
        <v>1</v>
      </c>
      <c r="K59" s="8">
        <v>1</v>
      </c>
      <c r="L59" s="8"/>
      <c r="M59" s="8">
        <f>SUM(Tabulka1224[[#This Row],[V]:[KPČ]])</f>
        <v>6</v>
      </c>
      <c r="N59" s="9">
        <v>4.5555555555555557E-2</v>
      </c>
      <c r="O59" s="9">
        <f>VLOOKUP(Tabulka1224[[#This Row],[jméno, příjmení, rok narození]],Allv0[[jméno, příjmení, rok narození]:[Vlastní]],3,FALSE)</f>
        <v>5.5555555555555497E-3</v>
      </c>
      <c r="P59" s="9">
        <f>Tabulka1224[[#This Row],[cíl]]-Tabulka1224[[#This Row],[start]]</f>
        <v>4.0000000000000008E-2</v>
      </c>
      <c r="Q59" s="9"/>
      <c r="R59" s="9">
        <f>P59+TIME(0,M59,0)-Q59</f>
        <v>4.4166666666666674E-2</v>
      </c>
      <c r="S59" s="11"/>
    </row>
    <row r="60" spans="1:19" ht="14.4" x14ac:dyDescent="0.3">
      <c r="A60" s="15">
        <v>4</v>
      </c>
      <c r="B60" t="s">
        <v>74</v>
      </c>
      <c r="C60" s="19" t="s">
        <v>66</v>
      </c>
      <c r="D60" s="8">
        <v>2</v>
      </c>
      <c r="E60" s="8"/>
      <c r="F60" s="8"/>
      <c r="G60" s="8">
        <v>3</v>
      </c>
      <c r="H60" s="8"/>
      <c r="I60" s="8"/>
      <c r="J60" s="8">
        <v>3</v>
      </c>
      <c r="K60" s="8">
        <v>3</v>
      </c>
      <c r="L60" s="8">
        <v>3</v>
      </c>
      <c r="M60" s="8">
        <f>SUM(Tabulka1224[[#This Row],[V]:[KPČ]])</f>
        <v>14</v>
      </c>
      <c r="N60" s="9">
        <v>5.8715277777777776E-2</v>
      </c>
      <c r="O60" s="9">
        <f>VLOOKUP(Tabulka1224[[#This Row],[jméno, příjmení, rok narození]],Allv0[[jméno, příjmení, rok narození]:[Vlastní]],3,FALSE)</f>
        <v>1.18055555555555E-2</v>
      </c>
      <c r="P60" s="9">
        <f>Tabulka1224[[#This Row],[cíl]]-Tabulka1224[[#This Row],[start]]</f>
        <v>4.6909722222222276E-2</v>
      </c>
      <c r="Q60" s="9">
        <v>2.3148148148148149E-4</v>
      </c>
      <c r="R60" s="9">
        <f>P60+TIME(0,M60,0)-Q60</f>
        <v>5.640046296296302E-2</v>
      </c>
      <c r="S60" s="7"/>
    </row>
    <row r="61" spans="1:19" ht="14.4" x14ac:dyDescent="0.3">
      <c r="A61" s="21"/>
      <c r="C61" s="19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11"/>
    </row>
    <row r="62" spans="1:19" x14ac:dyDescent="0.25">
      <c r="A62" s="6"/>
      <c r="B62" s="6" t="s">
        <v>61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8"/>
    </row>
    <row r="63" spans="1:19" x14ac:dyDescent="0.25">
      <c r="A63" s="8" t="s">
        <v>0</v>
      </c>
      <c r="B63" s="7" t="s">
        <v>1</v>
      </c>
      <c r="C63" s="7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19</v>
      </c>
      <c r="J63" s="8" t="s">
        <v>8</v>
      </c>
      <c r="K63" s="8" t="s">
        <v>9</v>
      </c>
      <c r="L63" s="8" t="s">
        <v>10</v>
      </c>
      <c r="M63" s="8" t="s">
        <v>11</v>
      </c>
      <c r="N63" s="9" t="s">
        <v>12</v>
      </c>
      <c r="O63" s="9" t="s">
        <v>13</v>
      </c>
      <c r="P63" s="9" t="s">
        <v>14</v>
      </c>
      <c r="Q63" s="9" t="s">
        <v>15</v>
      </c>
      <c r="R63" s="9" t="s">
        <v>16</v>
      </c>
      <c r="S63" s="8"/>
    </row>
    <row r="64" spans="1:19" ht="14.4" x14ac:dyDescent="0.3">
      <c r="A64" s="15">
        <v>1</v>
      </c>
      <c r="B64" t="s">
        <v>75</v>
      </c>
      <c r="C64" s="19" t="s">
        <v>66</v>
      </c>
      <c r="D64" s="8">
        <v>1</v>
      </c>
      <c r="E64" s="8"/>
      <c r="F64" s="8"/>
      <c r="G64" s="8">
        <v>3</v>
      </c>
      <c r="H64" s="8"/>
      <c r="I64" s="8"/>
      <c r="J64" s="8"/>
      <c r="K64" s="8"/>
      <c r="L64" s="8"/>
      <c r="M64" s="8">
        <f>SUM(Tabulka9233[[#This Row],[V]:[KPČ]])</f>
        <v>4</v>
      </c>
      <c r="N64" s="9">
        <v>5.7719907407407407E-2</v>
      </c>
      <c r="O64" s="9">
        <f>VLOOKUP(Tabulka9233[[#This Row],[jméno, příjmení, rok narození]],Allv0[[jméno, příjmení, rok narození]:[Vlastní]],3,FALSE)</f>
        <v>2.2916666666666599E-2</v>
      </c>
      <c r="P64" s="9">
        <f>Tabulka9233[[#This Row],[cíl]]-Tabulka9233[[#This Row],[start]]</f>
        <v>3.4803240740740808E-2</v>
      </c>
      <c r="Q64" s="9"/>
      <c r="R64" s="9">
        <f t="shared" ref="R64" si="2">P64+TIME(0,M64,0)-Q64</f>
        <v>3.7581018518518583E-2</v>
      </c>
      <c r="S64" s="8"/>
    </row>
    <row r="65" spans="1:19" ht="14.4" x14ac:dyDescent="0.3">
      <c r="A65" s="15">
        <v>2</v>
      </c>
      <c r="B65" s="19" t="s">
        <v>37</v>
      </c>
      <c r="C65" s="19" t="s">
        <v>18</v>
      </c>
      <c r="D65" s="8">
        <v>2</v>
      </c>
      <c r="E65" s="8"/>
      <c r="F65" s="8"/>
      <c r="G65" s="8">
        <v>2</v>
      </c>
      <c r="H65" s="8"/>
      <c r="I65" s="8"/>
      <c r="J65" s="8">
        <v>3</v>
      </c>
      <c r="K65" s="8">
        <v>2</v>
      </c>
      <c r="L65" s="8">
        <v>3</v>
      </c>
      <c r="M65" s="8">
        <f>SUM(Tabulka9233[[#This Row],[V]:[KPČ]])</f>
        <v>12</v>
      </c>
      <c r="N65" s="9">
        <v>3.7777777777777778E-2</v>
      </c>
      <c r="O65" s="9">
        <f>VLOOKUP(Tabulka9233[[#This Row],[jméno, příjmení, rok narození]],Allv0[[jméno, příjmení, rok narození]:[Vlastní]],3,FALSE)</f>
        <v>1.3888888888888889E-3</v>
      </c>
      <c r="P65" s="9">
        <f>Tabulka9233[[#This Row],[cíl]]-Tabulka9233[[#This Row],[start]]</f>
        <v>3.6388888888888887E-2</v>
      </c>
      <c r="Q65" s="9"/>
      <c r="R65" s="9">
        <f t="shared" ref="R65" si="3">P65+TIME(0,M65,0)-Q65</f>
        <v>4.4722222222222219E-2</v>
      </c>
      <c r="S65" s="8"/>
    </row>
    <row r="66" spans="1:19" x14ac:dyDescent="0.25">
      <c r="A66" s="8"/>
      <c r="B66" s="7"/>
      <c r="C66" s="7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/>
      <c r="Q66" s="9"/>
      <c r="R66" s="9"/>
      <c r="S66" s="8"/>
    </row>
    <row r="67" spans="1:19" x14ac:dyDescent="0.25">
      <c r="A67" s="6"/>
      <c r="B67" s="6" t="s">
        <v>62</v>
      </c>
      <c r="C67" s="7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8"/>
    </row>
    <row r="68" spans="1:19" x14ac:dyDescent="0.25">
      <c r="A68" s="8" t="s">
        <v>0</v>
      </c>
      <c r="B68" s="7" t="s">
        <v>1</v>
      </c>
      <c r="C68" s="7" t="s">
        <v>2</v>
      </c>
      <c r="D68" s="8" t="s">
        <v>3</v>
      </c>
      <c r="E68" s="8" t="s">
        <v>4</v>
      </c>
      <c r="F68" s="8" t="s">
        <v>5</v>
      </c>
      <c r="G68" s="8" t="s">
        <v>6</v>
      </c>
      <c r="H68" s="8" t="s">
        <v>7</v>
      </c>
      <c r="I68" s="8" t="s">
        <v>19</v>
      </c>
      <c r="J68" s="8" t="s">
        <v>8</v>
      </c>
      <c r="K68" s="8" t="s">
        <v>9</v>
      </c>
      <c r="L68" s="8" t="s">
        <v>10</v>
      </c>
      <c r="M68" s="8" t="s">
        <v>11</v>
      </c>
      <c r="N68" s="9" t="s">
        <v>12</v>
      </c>
      <c r="O68" s="9" t="s">
        <v>13</v>
      </c>
      <c r="P68" s="9" t="s">
        <v>14</v>
      </c>
      <c r="Q68" s="9" t="s">
        <v>15</v>
      </c>
      <c r="R68" s="9" t="s">
        <v>16</v>
      </c>
      <c r="S68" s="8"/>
    </row>
    <row r="69" spans="1:19" ht="14.4" customHeight="1" x14ac:dyDescent="0.25">
      <c r="A69" s="15">
        <v>1</v>
      </c>
      <c r="B69" t="s">
        <v>91</v>
      </c>
      <c r="C69" t="s">
        <v>18</v>
      </c>
      <c r="D69" s="8"/>
      <c r="E69" s="8"/>
      <c r="F69" s="8"/>
      <c r="G69" s="8">
        <v>2</v>
      </c>
      <c r="H69" s="8"/>
      <c r="I69" s="8"/>
      <c r="J69" s="8"/>
      <c r="K69" s="8"/>
      <c r="L69" s="8">
        <v>1</v>
      </c>
      <c r="M69" s="8">
        <f>SUM(Tabulka1325[[#This Row],[V]:[KPČ]])</f>
        <v>3</v>
      </c>
      <c r="N69" s="9">
        <v>3.1400462962962963E-2</v>
      </c>
      <c r="O69" s="9">
        <f>VLOOKUP(Tabulka1325[[#This Row],[jméno, příjmení, rok narození]],Allv0[[jméno, příjmení, rok narození]:[Vlastní]],3,FALSE)</f>
        <v>4.8611111111111103E-3</v>
      </c>
      <c r="P69" s="9">
        <f>Tabulka1325[[#This Row],[cíl]]-Tabulka1325[[#This Row],[start]]</f>
        <v>2.6539351851851852E-2</v>
      </c>
      <c r="Q69" s="9"/>
      <c r="R69" s="9">
        <f>P69+TIME(0,M69,0)-Q69</f>
        <v>2.8622685185185185E-2</v>
      </c>
      <c r="S69" s="8"/>
    </row>
    <row r="70" spans="1:19" ht="14.4" x14ac:dyDescent="0.3">
      <c r="A70" s="15">
        <v>2</v>
      </c>
      <c r="B70" s="19" t="s">
        <v>31</v>
      </c>
      <c r="C70" s="19" t="s">
        <v>66</v>
      </c>
      <c r="D70" s="8"/>
      <c r="E70" s="8"/>
      <c r="F70" s="8"/>
      <c r="G70" s="8">
        <v>2</v>
      </c>
      <c r="H70" s="8"/>
      <c r="I70" s="8"/>
      <c r="J70" s="8"/>
      <c r="K70" s="8"/>
      <c r="L70" s="8"/>
      <c r="M70" s="8">
        <f>SUM(Tabulka1325[[#This Row],[V]:[KPČ]])</f>
        <v>2</v>
      </c>
      <c r="N70" s="9">
        <v>5.8090277777777775E-2</v>
      </c>
      <c r="O70" s="9">
        <f>VLOOKUP(Tabulka1325[[#This Row],[jméno, příjmení, rok narození]],Allv0[[jméno, příjmení, rok narození]:[Vlastní]],3,FALSE)</f>
        <v>2.9166666666666601E-2</v>
      </c>
      <c r="P70" s="9">
        <f>Tabulka1325[[#This Row],[cíl]]-Tabulka1325[[#This Row],[start]]</f>
        <v>2.8923611111111174E-2</v>
      </c>
      <c r="Q70" s="9">
        <v>2.8935185185185184E-4</v>
      </c>
      <c r="R70" s="9">
        <f>P70+TIME(0,M70,0)-Q70</f>
        <v>3.0023148148148208E-2</v>
      </c>
      <c r="S70" s="8"/>
    </row>
    <row r="71" spans="1:19" ht="14.4" x14ac:dyDescent="0.3">
      <c r="A71" s="15">
        <v>3</v>
      </c>
      <c r="B71" t="s">
        <v>78</v>
      </c>
      <c r="C71" s="19" t="s">
        <v>66</v>
      </c>
      <c r="D71" s="8"/>
      <c r="E71" s="8"/>
      <c r="F71" s="8"/>
      <c r="G71" s="8"/>
      <c r="H71" s="8"/>
      <c r="I71" s="8"/>
      <c r="J71" s="8"/>
      <c r="K71" s="8">
        <v>1</v>
      </c>
      <c r="L71" s="8"/>
      <c r="M71" s="8">
        <f>SUM(Tabulka1325[[#This Row],[V]:[KPČ]])</f>
        <v>1</v>
      </c>
      <c r="N71" s="9">
        <v>3.4456018518518518E-2</v>
      </c>
      <c r="O71" s="9">
        <f>VLOOKUP(Tabulka1325[[#This Row],[jméno, příjmení, rok narození]],Allv0[[jméno, příjmení, rok narození]:[Vlastní]],3,FALSE)</f>
        <v>3.4722222222222199E-3</v>
      </c>
      <c r="P71" s="9">
        <f>Tabulka1325[[#This Row],[cíl]]-Tabulka1325[[#This Row],[start]]</f>
        <v>3.0983796296296297E-2</v>
      </c>
      <c r="Q71" s="9"/>
      <c r="R71" s="9">
        <f>P71+TIME(0,M71,0)-Q71</f>
        <v>3.1678240740740743E-2</v>
      </c>
      <c r="S71" s="8"/>
    </row>
    <row r="72" spans="1:19" ht="14.4" x14ac:dyDescent="0.3">
      <c r="A72" s="15">
        <v>4</v>
      </c>
      <c r="B72" s="19" t="s">
        <v>79</v>
      </c>
      <c r="C72" s="19" t="s">
        <v>66</v>
      </c>
      <c r="D72" s="8"/>
      <c r="E72" s="8"/>
      <c r="F72" s="8"/>
      <c r="G72" s="8">
        <v>3</v>
      </c>
      <c r="H72" s="8"/>
      <c r="I72" s="8"/>
      <c r="J72" s="8"/>
      <c r="K72" s="8">
        <v>2</v>
      </c>
      <c r="L72" s="8"/>
      <c r="M72" s="8">
        <f>SUM(Tabulka1325[[#This Row],[V]:[KPČ]])</f>
        <v>5</v>
      </c>
      <c r="N72" s="9">
        <v>3.1087962962962963E-2</v>
      </c>
      <c r="O72" s="9">
        <f>VLOOKUP(Tabulka1325[[#This Row],[jméno, příjmení, rok narození]],Allv0[[jméno, příjmení, rok narození]:[Vlastní]],3,FALSE)</f>
        <v>2.0833333333333298E-3</v>
      </c>
      <c r="P72" s="9">
        <f>Tabulka1325[[#This Row],[cíl]]-Tabulka1325[[#This Row],[start]]</f>
        <v>2.9004629629629634E-2</v>
      </c>
      <c r="Q72" s="9"/>
      <c r="R72" s="9">
        <f>P72+TIME(0,M72,0)-Q72</f>
        <v>3.2476851851851854E-2</v>
      </c>
      <c r="S72" s="8"/>
    </row>
    <row r="73" spans="1:19" ht="13.2" customHeight="1" x14ac:dyDescent="0.3">
      <c r="A73" s="15">
        <v>5</v>
      </c>
      <c r="B73" s="19" t="s">
        <v>77</v>
      </c>
      <c r="C73" s="19" t="s">
        <v>66</v>
      </c>
      <c r="D73" s="8"/>
      <c r="E73" s="8">
        <v>1</v>
      </c>
      <c r="F73" s="8"/>
      <c r="G73" s="8">
        <v>2</v>
      </c>
      <c r="H73" s="8"/>
      <c r="I73" s="8"/>
      <c r="J73" s="8"/>
      <c r="K73" s="8">
        <v>4</v>
      </c>
      <c r="L73" s="8">
        <v>1</v>
      </c>
      <c r="M73" s="8">
        <f>SUM(Tabulka1325[[#This Row],[V]:[KPČ]])</f>
        <v>8</v>
      </c>
      <c r="N73" s="9">
        <v>6.7187499999999997E-2</v>
      </c>
      <c r="O73" s="9">
        <f>VLOOKUP(Tabulka1325[[#This Row],[jméno, příjmení, rok narození]],Allv0[[jméno, příjmení, rok narození]:[Vlastní]],3,FALSE)</f>
        <v>2.5000000000000001E-2</v>
      </c>
      <c r="P73" s="9">
        <f>Tabulka1325[[#This Row],[cíl]]-Tabulka1325[[#This Row],[start]]</f>
        <v>4.2187499999999996E-2</v>
      </c>
      <c r="Q73" s="9"/>
      <c r="R73" s="9">
        <f>P73+TIME(0,M73,0)-Q73</f>
        <v>4.7743055555555552E-2</v>
      </c>
      <c r="S73" s="8"/>
    </row>
    <row r="74" spans="1:19" x14ac:dyDescent="0.25">
      <c r="A74" s="8"/>
      <c r="B74" s="7"/>
      <c r="C74" s="7"/>
      <c r="D74" s="8"/>
      <c r="E74" s="8"/>
      <c r="F74" s="8"/>
      <c r="G74" s="8"/>
      <c r="H74" s="8"/>
      <c r="I74" s="8"/>
      <c r="J74" s="8"/>
      <c r="K74" s="8"/>
      <c r="L74" s="8"/>
      <c r="M74" s="8"/>
      <c r="N74" s="9"/>
      <c r="O74" s="9"/>
      <c r="P74" s="9"/>
      <c r="Q74" s="9"/>
      <c r="R74" s="9"/>
      <c r="S74" s="8"/>
    </row>
    <row r="75" spans="1:19" x14ac:dyDescent="0.25">
      <c r="A75" s="6"/>
      <c r="B75" s="6" t="s">
        <v>65</v>
      </c>
      <c r="C75" s="7"/>
      <c r="D75" s="8"/>
      <c r="E75" s="8"/>
      <c r="F75" s="8"/>
      <c r="G75" s="8"/>
      <c r="H75" s="8"/>
      <c r="I75" s="8"/>
      <c r="J75" s="8"/>
      <c r="K75" s="8"/>
      <c r="L75" s="8"/>
      <c r="M75" s="8"/>
      <c r="N75" s="9"/>
      <c r="O75" s="9"/>
      <c r="P75" s="9"/>
      <c r="Q75" s="9"/>
      <c r="R75" s="9"/>
      <c r="S75" s="8"/>
    </row>
    <row r="76" spans="1:19" x14ac:dyDescent="0.25">
      <c r="A76" s="8" t="s">
        <v>0</v>
      </c>
      <c r="B76" s="7" t="s">
        <v>1</v>
      </c>
      <c r="C76" s="7" t="s">
        <v>2</v>
      </c>
      <c r="D76" s="8" t="s">
        <v>3</v>
      </c>
      <c r="E76" s="8" t="s">
        <v>4</v>
      </c>
      <c r="F76" s="8" t="s">
        <v>5</v>
      </c>
      <c r="G76" s="8" t="s">
        <v>6</v>
      </c>
      <c r="H76" s="8" t="s">
        <v>7</v>
      </c>
      <c r="I76" s="8" t="s">
        <v>19</v>
      </c>
      <c r="J76" s="8" t="s">
        <v>8</v>
      </c>
      <c r="K76" s="8" t="s">
        <v>9</v>
      </c>
      <c r="L76" s="8" t="s">
        <v>10</v>
      </c>
      <c r="M76" s="8" t="s">
        <v>11</v>
      </c>
      <c r="N76" s="9" t="s">
        <v>12</v>
      </c>
      <c r="O76" s="9" t="s">
        <v>13</v>
      </c>
      <c r="P76" s="9" t="s">
        <v>14</v>
      </c>
      <c r="Q76" s="9" t="s">
        <v>15</v>
      </c>
      <c r="R76" s="9" t="s">
        <v>16</v>
      </c>
      <c r="S76" s="11"/>
    </row>
    <row r="77" spans="1:19" ht="14.4" x14ac:dyDescent="0.3">
      <c r="A77" s="15">
        <v>1</v>
      </c>
      <c r="B77" s="19" t="s">
        <v>83</v>
      </c>
      <c r="C77" s="19" t="s">
        <v>66</v>
      </c>
      <c r="D77" s="8"/>
      <c r="E77" s="8"/>
      <c r="F77" s="8"/>
      <c r="G77" s="8">
        <v>2</v>
      </c>
      <c r="H77" s="8"/>
      <c r="I77" s="8"/>
      <c r="J77" s="8"/>
      <c r="K77" s="8">
        <v>2</v>
      </c>
      <c r="L77" s="8"/>
      <c r="M77" s="8">
        <f>SUM(Tabulka1426[[#This Row],[V]:[KPČ]])</f>
        <v>4</v>
      </c>
      <c r="N77" s="9">
        <v>6.7013888888888887E-2</v>
      </c>
      <c r="O77" s="9">
        <v>3.8206018518518521E-2</v>
      </c>
      <c r="P77" s="9">
        <f>Tabulka1426[[#This Row],[cíl]]-Tabulka1426[[#This Row],[start]]</f>
        <v>2.8807870370370366E-2</v>
      </c>
      <c r="Q77" s="9"/>
      <c r="R77" s="9">
        <f>P77+TIME(0,M77,0)-Q77</f>
        <v>3.158564814814814E-2</v>
      </c>
      <c r="S77" s="11"/>
    </row>
    <row r="78" spans="1:19" ht="14.4" x14ac:dyDescent="0.3">
      <c r="A78" s="15">
        <v>2</v>
      </c>
      <c r="B78" s="19" t="s">
        <v>32</v>
      </c>
      <c r="C78" s="19" t="s">
        <v>66</v>
      </c>
      <c r="D78" s="8"/>
      <c r="E78" s="8"/>
      <c r="F78" s="8"/>
      <c r="G78" s="8">
        <v>1</v>
      </c>
      <c r="H78" s="8"/>
      <c r="I78" s="8"/>
      <c r="J78" s="8">
        <v>1</v>
      </c>
      <c r="K78" s="8">
        <v>1</v>
      </c>
      <c r="L78" s="8"/>
      <c r="M78" s="8">
        <f>SUM(Tabulka1426[[#This Row],[V]:[KPČ]])</f>
        <v>3</v>
      </c>
      <c r="N78" s="9">
        <v>6.643518518518518E-2</v>
      </c>
      <c r="O78" s="9">
        <v>3.1956018518518516E-2</v>
      </c>
      <c r="P78" s="9">
        <f>Tabulka1426[[#This Row],[cíl]]-Tabulka1426[[#This Row],[start]]</f>
        <v>3.4479166666666665E-2</v>
      </c>
      <c r="Q78" s="9"/>
      <c r="R78" s="9">
        <f>P78+TIME(0,M78,0)-Q78</f>
        <v>3.6562499999999998E-2</v>
      </c>
      <c r="S78" s="11"/>
    </row>
    <row r="79" spans="1:19" ht="14.4" x14ac:dyDescent="0.3">
      <c r="A79" s="15">
        <v>3</v>
      </c>
      <c r="B79" s="19" t="s">
        <v>82</v>
      </c>
      <c r="C79" s="19" t="s">
        <v>66</v>
      </c>
      <c r="D79" s="8">
        <v>2</v>
      </c>
      <c r="E79" s="8"/>
      <c r="F79" s="8"/>
      <c r="G79" s="8">
        <v>3</v>
      </c>
      <c r="H79" s="8"/>
      <c r="I79" s="8"/>
      <c r="J79" s="8"/>
      <c r="K79" s="8"/>
      <c r="L79" s="8">
        <v>2</v>
      </c>
      <c r="M79" s="8">
        <f>SUM(Tabulka1426[[#This Row],[V]:[KPČ]])</f>
        <v>7</v>
      </c>
      <c r="N79" s="9">
        <v>6.3263888888888883E-2</v>
      </c>
      <c r="O79" s="9">
        <f>VLOOKUP(Tabulka1426[[#This Row],[jméno, příjmení, rok narození]],Allv0[[jméno, příjmení, rok narození]:[Vlastní]],3,FALSE)</f>
        <v>2.70833333333333E-2</v>
      </c>
      <c r="P79" s="9">
        <f>Tabulka1426[[#This Row],[cíl]]-Tabulka1426[[#This Row],[start]]</f>
        <v>3.6180555555555584E-2</v>
      </c>
      <c r="Q79" s="9"/>
      <c r="R79" s="9">
        <f>P79+TIME(0,M79,0)-Q79</f>
        <v>4.1041666666666698E-2</v>
      </c>
      <c r="S79" s="11"/>
    </row>
    <row r="80" spans="1:19" ht="14.4" x14ac:dyDescent="0.3">
      <c r="A80" s="15">
        <v>4</v>
      </c>
      <c r="B80" s="7" t="s">
        <v>84</v>
      </c>
      <c r="C80" s="19" t="s">
        <v>66</v>
      </c>
      <c r="D80" s="8">
        <v>2</v>
      </c>
      <c r="E80" s="8"/>
      <c r="F80" s="8"/>
      <c r="G80" s="8">
        <v>2</v>
      </c>
      <c r="H80" s="8"/>
      <c r="I80" s="8"/>
      <c r="J80" s="8"/>
      <c r="K80" s="8"/>
      <c r="L80" s="8"/>
      <c r="M80" s="8">
        <f>SUM(Tabulka1426[[#This Row],[V]:[KPČ]])</f>
        <v>4</v>
      </c>
      <c r="N80" s="9">
        <v>6.0543981481481483E-2</v>
      </c>
      <c r="O80" s="9">
        <f>VLOOKUP(Tabulka1426[[#This Row],[jméno, příjmení, rok narození]],Allv0[[jméno, příjmení, rok narození]:[Vlastní]],3,FALSE)</f>
        <v>1.8055555555555498E-2</v>
      </c>
      <c r="P80" s="9">
        <f>Tabulka1426[[#This Row],[cíl]]-Tabulka1426[[#This Row],[start]]</f>
        <v>4.2488425925925985E-2</v>
      </c>
      <c r="Q80" s="9"/>
      <c r="R80" s="9">
        <f>P80+TIME(0,M80,0)-Q80</f>
        <v>4.526620370370376E-2</v>
      </c>
      <c r="S80" s="11"/>
    </row>
    <row r="81" spans="1:19" x14ac:dyDescent="0.25">
      <c r="A81" s="21"/>
      <c r="B81" s="51"/>
      <c r="C81" s="5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2"/>
      <c r="O81" s="52"/>
      <c r="P81" s="52"/>
      <c r="Q81" s="52"/>
      <c r="R81" s="52"/>
      <c r="S81" s="11"/>
    </row>
    <row r="82" spans="1:19" x14ac:dyDescent="0.25">
      <c r="A82" s="6"/>
      <c r="B82" s="6" t="s">
        <v>63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9"/>
      <c r="R82" s="9"/>
      <c r="S82" s="11"/>
    </row>
    <row r="83" spans="1:19" x14ac:dyDescent="0.25">
      <c r="A83" s="8" t="s">
        <v>0</v>
      </c>
      <c r="B83" s="7" t="s">
        <v>1</v>
      </c>
      <c r="C83" s="7" t="s">
        <v>2</v>
      </c>
      <c r="D83" s="8" t="s">
        <v>3</v>
      </c>
      <c r="E83" s="8" t="s">
        <v>4</v>
      </c>
      <c r="F83" s="8" t="s">
        <v>5</v>
      </c>
      <c r="G83" s="8" t="s">
        <v>6</v>
      </c>
      <c r="H83" s="8" t="s">
        <v>7</v>
      </c>
      <c r="I83" s="8" t="s">
        <v>19</v>
      </c>
      <c r="J83" s="8" t="s">
        <v>8</v>
      </c>
      <c r="K83" s="8" t="s">
        <v>9</v>
      </c>
      <c r="L83" s="8" t="s">
        <v>10</v>
      </c>
      <c r="M83" s="8" t="s">
        <v>11</v>
      </c>
      <c r="N83" s="9" t="s">
        <v>12</v>
      </c>
      <c r="O83" s="9" t="s">
        <v>13</v>
      </c>
      <c r="P83" s="9" t="s">
        <v>14</v>
      </c>
      <c r="Q83" s="9" t="s">
        <v>15</v>
      </c>
      <c r="R83" s="9" t="s">
        <v>16</v>
      </c>
      <c r="S83" s="7"/>
    </row>
    <row r="84" spans="1:19" ht="14.4" x14ac:dyDescent="0.3">
      <c r="A84" s="15">
        <v>1</v>
      </c>
      <c r="B84" s="19" t="s">
        <v>76</v>
      </c>
      <c r="C84" s="19" t="s">
        <v>66</v>
      </c>
      <c r="D84" s="8"/>
      <c r="E84" s="8"/>
      <c r="F84" s="8"/>
      <c r="G84" s="8"/>
      <c r="H84" s="8"/>
      <c r="I84" s="8"/>
      <c r="J84" s="8">
        <v>1</v>
      </c>
      <c r="K84" s="8"/>
      <c r="L84" s="8">
        <v>1</v>
      </c>
      <c r="M84" s="8">
        <f>SUM(Tabulka1527[[#This Row],[V]:[KPČ]])</f>
        <v>2</v>
      </c>
      <c r="N84" s="9">
        <v>5.5671296296296295E-2</v>
      </c>
      <c r="O84" s="9">
        <f>VLOOKUP(Tabulka1527[[#This Row],[jméno, příjmení, rok narození]],Allv0[[jméno, příjmení, rok narození]:[Vlastní]],3,FALSE)</f>
        <v>3.3333333333333298E-2</v>
      </c>
      <c r="P84" s="9">
        <f>Tabulka1527[[#This Row],[cíl]]-Tabulka1527[[#This Row],[start]]</f>
        <v>2.2337962962962997E-2</v>
      </c>
      <c r="Q84" s="9">
        <v>2.3148148148148147E-5</v>
      </c>
      <c r="R84" s="9">
        <f>P84+TIME(0,M84,0)-Q84</f>
        <v>2.3703703703703737E-2</v>
      </c>
      <c r="S84" s="7"/>
    </row>
    <row r="85" spans="1:19" ht="14.4" x14ac:dyDescent="0.3">
      <c r="A85" s="15">
        <v>2</v>
      </c>
      <c r="B85" t="s">
        <v>34</v>
      </c>
      <c r="C85" s="19" t="s">
        <v>66</v>
      </c>
      <c r="D85" s="8"/>
      <c r="E85" s="8"/>
      <c r="F85" s="8"/>
      <c r="G85" s="8"/>
      <c r="H85" s="8"/>
      <c r="I85" s="8"/>
      <c r="J85" s="8">
        <v>1</v>
      </c>
      <c r="K85" s="8"/>
      <c r="L85" s="8"/>
      <c r="M85" s="8">
        <f>SUM(Tabulka1527[[#This Row],[V]:[KPČ]])</f>
        <v>1</v>
      </c>
      <c r="N85" s="9">
        <v>2.3923611111111111E-2</v>
      </c>
      <c r="O85" s="9">
        <f>VLOOKUP(Tabulka1527[[#This Row],[jméno, příjmení, rok narození]],Allv0[[jméno, příjmení, rok narození]:[Vlastní]],3,FALSE)</f>
        <v>6.9444444444444447E-4</v>
      </c>
      <c r="P85" s="9">
        <f>Tabulka1527[[#This Row],[cíl]]-Tabulka1527[[#This Row],[start]]</f>
        <v>2.3229166666666665E-2</v>
      </c>
      <c r="Q85" s="9"/>
      <c r="R85" s="9">
        <f>P85+TIME(0,M85,0)-Q85</f>
        <v>2.3923611111111111E-2</v>
      </c>
      <c r="S85" s="11"/>
    </row>
    <row r="86" spans="1:19" ht="14.4" x14ac:dyDescent="0.3">
      <c r="A86" s="15">
        <v>3</v>
      </c>
      <c r="B86" s="19" t="s">
        <v>33</v>
      </c>
      <c r="C86" s="19" t="s">
        <v>66</v>
      </c>
      <c r="D86" s="8"/>
      <c r="E86" s="8"/>
      <c r="F86" s="8"/>
      <c r="G86" s="8">
        <v>2</v>
      </c>
      <c r="H86" s="8"/>
      <c r="I86" s="8"/>
      <c r="J86" s="8"/>
      <c r="K86" s="8">
        <v>2</v>
      </c>
      <c r="L86" s="8"/>
      <c r="M86" s="8">
        <f>SUM(Tabulka1527[[#This Row],[V]:[KPČ]])</f>
        <v>4</v>
      </c>
      <c r="N86" s="9">
        <v>5.4317129629629632E-2</v>
      </c>
      <c r="O86" s="9">
        <f>VLOOKUP(Tabulka1527[[#This Row],[jméno, příjmení, rok narození]],Allv0[[jméno, příjmení, rok narození]:[Vlastní]],3,FALSE)</f>
        <v>2.8472222222222201E-2</v>
      </c>
      <c r="P86" s="9">
        <f>Tabulka1527[[#This Row],[cíl]]-Tabulka1527[[#This Row],[start]]</f>
        <v>2.5844907407407431E-2</v>
      </c>
      <c r="Q86" s="9">
        <v>2.8935185185185184E-4</v>
      </c>
      <c r="R86" s="9">
        <f>P86+TIME(0,M86,0)-Q86</f>
        <v>2.8333333333333356E-2</v>
      </c>
      <c r="S86" s="11"/>
    </row>
    <row r="87" spans="1:19" x14ac:dyDescent="0.25">
      <c r="A87" s="15">
        <v>4</v>
      </c>
      <c r="B87" s="7" t="s">
        <v>90</v>
      </c>
      <c r="C87" s="7" t="s">
        <v>18</v>
      </c>
      <c r="D87" s="8"/>
      <c r="E87" s="8"/>
      <c r="F87" s="8"/>
      <c r="G87" s="8">
        <v>2</v>
      </c>
      <c r="H87" s="8"/>
      <c r="I87" s="8"/>
      <c r="J87" s="8">
        <v>2</v>
      </c>
      <c r="K87" s="8">
        <v>5</v>
      </c>
      <c r="L87" s="8">
        <v>2</v>
      </c>
      <c r="M87" s="8">
        <f>SUM(Tabulka1527[[#This Row],[V]:[KPČ]])</f>
        <v>11</v>
      </c>
      <c r="N87" s="9">
        <v>6.5601851851851856E-2</v>
      </c>
      <c r="O87" s="9">
        <f>VLOOKUP(Tabulka1527[[#This Row],[jméno, příjmení, rok narození]],Allv0[[jméno, příjmení, rok narození]:[Vlastní]],3,FALSE)</f>
        <v>3.6805555555555501E-2</v>
      </c>
      <c r="P87" s="9">
        <f>Tabulka1527[[#This Row],[cíl]]-Tabulka1527[[#This Row],[start]]</f>
        <v>2.8796296296296355E-2</v>
      </c>
      <c r="Q87" s="9"/>
      <c r="R87" s="9">
        <f>P87+TIME(0,M87,0)-Q87</f>
        <v>3.6435185185185244E-2</v>
      </c>
      <c r="S87" s="11"/>
    </row>
    <row r="88" spans="1:19" x14ac:dyDescent="0.25">
      <c r="A88" s="8"/>
      <c r="C88" s="7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11"/>
    </row>
    <row r="89" spans="1:19" x14ac:dyDescent="0.25">
      <c r="A89" s="6"/>
      <c r="B89" s="6" t="s">
        <v>64</v>
      </c>
      <c r="C89" s="7"/>
      <c r="D89" s="8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9"/>
      <c r="R89" s="9"/>
      <c r="S89" s="11"/>
    </row>
    <row r="90" spans="1:19" x14ac:dyDescent="0.25">
      <c r="A90" s="8" t="s">
        <v>0</v>
      </c>
      <c r="B90" s="7" t="s">
        <v>1</v>
      </c>
      <c r="C90" s="7" t="s">
        <v>2</v>
      </c>
      <c r="D90" s="8" t="s">
        <v>3</v>
      </c>
      <c r="E90" s="8" t="s">
        <v>4</v>
      </c>
      <c r="F90" s="8" t="s">
        <v>5</v>
      </c>
      <c r="G90" s="8" t="s">
        <v>6</v>
      </c>
      <c r="H90" s="8" t="s">
        <v>7</v>
      </c>
      <c r="I90" s="8" t="s">
        <v>19</v>
      </c>
      <c r="J90" s="8" t="s">
        <v>8</v>
      </c>
      <c r="K90" s="8" t="s">
        <v>9</v>
      </c>
      <c r="L90" s="8" t="s">
        <v>10</v>
      </c>
      <c r="M90" s="8" t="s">
        <v>11</v>
      </c>
      <c r="N90" s="9" t="s">
        <v>12</v>
      </c>
      <c r="O90" s="9" t="s">
        <v>13</v>
      </c>
      <c r="P90" s="9" t="s">
        <v>14</v>
      </c>
      <c r="Q90" s="9" t="s">
        <v>15</v>
      </c>
      <c r="R90" s="9" t="s">
        <v>16</v>
      </c>
      <c r="S90" s="11"/>
    </row>
    <row r="91" spans="1:19" ht="14.4" x14ac:dyDescent="0.3">
      <c r="A91" s="15">
        <v>2</v>
      </c>
      <c r="B91" s="19" t="s">
        <v>41</v>
      </c>
      <c r="C91" s="19" t="s">
        <v>66</v>
      </c>
      <c r="D91" s="8"/>
      <c r="E91" s="8"/>
      <c r="F91" s="8"/>
      <c r="G91" s="8">
        <v>1</v>
      </c>
      <c r="H91" s="8"/>
      <c r="I91" s="8"/>
      <c r="J91" s="8"/>
      <c r="K91" s="8"/>
      <c r="L91" s="8"/>
      <c r="M91" s="8">
        <f>SUM(Tabulka1628[[#This Row],[V]:[KPČ]])</f>
        <v>1</v>
      </c>
      <c r="N91" s="9">
        <v>4.4421296296296299E-2</v>
      </c>
      <c r="O91" s="9">
        <f>VLOOKUP(Tabulka1628[[#This Row],[jméno, příjmení, rok narození]],Allv0[[jméno, příjmení, rok narození]:[Vlastní]],3,FALSE)</f>
        <v>1.59722222222222E-2</v>
      </c>
      <c r="P91" s="9">
        <f>Tabulka1628[[#This Row],[cíl]]-Tabulka1628[[#This Row],[start]]</f>
        <v>2.8449074074074099E-2</v>
      </c>
      <c r="Q91" s="9">
        <v>5.4398148148148144E-4</v>
      </c>
      <c r="R91" s="9">
        <f>P91+TIME(0,M91,0)-Q91</f>
        <v>2.8599537037037062E-2</v>
      </c>
      <c r="S91" s="11"/>
    </row>
    <row r="92" spans="1:19" ht="14.4" x14ac:dyDescent="0.3">
      <c r="A92" s="15">
        <v>1</v>
      </c>
      <c r="B92" s="19" t="s">
        <v>68</v>
      </c>
      <c r="C92" s="7" t="s">
        <v>67</v>
      </c>
      <c r="D92" s="8">
        <v>1</v>
      </c>
      <c r="E92" s="8"/>
      <c r="F92" s="8"/>
      <c r="G92" s="8">
        <v>2</v>
      </c>
      <c r="H92" s="8"/>
      <c r="I92" s="8"/>
      <c r="J92" s="8"/>
      <c r="K92" s="8"/>
      <c r="L92" s="8"/>
      <c r="M92" s="8">
        <f>SUM(Tabulka1628[[#This Row],[V]:[KPČ]])</f>
        <v>3</v>
      </c>
      <c r="N92" s="9">
        <v>5.7280092592592591E-2</v>
      </c>
      <c r="O92" s="9">
        <f>VLOOKUP(Tabulka1628[[#This Row],[jméno, příjmení, rok narození]],Allv0[[jméno, příjmení, rok narození]:[Vlastní]],3,FALSE)</f>
        <v>3.0555555555555499E-2</v>
      </c>
      <c r="P92" s="9">
        <f>Tabulka1628[[#This Row],[cíl]]-Tabulka1628[[#This Row],[start]]</f>
        <v>2.6724537037037092E-2</v>
      </c>
      <c r="Q92" s="9"/>
      <c r="R92" s="9">
        <f>P92+TIME(0,M92,0)-Q92</f>
        <v>2.8807870370370425E-2</v>
      </c>
      <c r="S92" s="11"/>
    </row>
    <row r="93" spans="1:19" ht="14.4" x14ac:dyDescent="0.3">
      <c r="A93" s="15">
        <v>3</v>
      </c>
      <c r="B93" s="19" t="s">
        <v>40</v>
      </c>
      <c r="C93" s="19" t="s">
        <v>67</v>
      </c>
      <c r="D93" s="8">
        <v>2</v>
      </c>
      <c r="E93" s="8"/>
      <c r="F93" s="8"/>
      <c r="G93" s="8"/>
      <c r="H93" s="8"/>
      <c r="I93" s="8">
        <v>1</v>
      </c>
      <c r="J93" s="8">
        <v>1</v>
      </c>
      <c r="K93" s="8">
        <v>1</v>
      </c>
      <c r="L93" s="8">
        <v>1</v>
      </c>
      <c r="M93" s="8">
        <f>SUM(Tabulka1628[[#This Row],[V]:[KPČ]])</f>
        <v>6</v>
      </c>
      <c r="N93" s="9">
        <v>4.6273148148148147E-2</v>
      </c>
      <c r="O93" s="9">
        <f>VLOOKUP(Tabulka1628[[#This Row],[jméno, příjmení, rok narození]],Allv0[[jméno, příjmení, rok narození]:[Vlastní]],3,FALSE)</f>
        <v>2.01388888888888E-2</v>
      </c>
      <c r="P93" s="9">
        <f>Tabulka1628[[#This Row],[cíl]]-Tabulka1628[[#This Row],[start]]</f>
        <v>2.6134259259259347E-2</v>
      </c>
      <c r="Q93" s="9"/>
      <c r="R93" s="9">
        <f>P93+TIME(0,M93,0)-Q93</f>
        <v>3.0300925925926012E-2</v>
      </c>
      <c r="S93" s="7"/>
    </row>
    <row r="94" spans="1:19" ht="14.4" x14ac:dyDescent="0.3">
      <c r="A94" s="15">
        <v>4</v>
      </c>
      <c r="B94" s="19" t="s">
        <v>81</v>
      </c>
      <c r="C94" s="19" t="s">
        <v>66</v>
      </c>
      <c r="D94" s="8"/>
      <c r="E94" s="8"/>
      <c r="F94" s="8"/>
      <c r="G94" s="8">
        <v>3</v>
      </c>
      <c r="H94" s="8"/>
      <c r="I94" s="8"/>
      <c r="J94" s="8"/>
      <c r="K94" s="8">
        <v>1</v>
      </c>
      <c r="L94" s="8"/>
      <c r="M94" s="8">
        <f>SUM(Tabulka1628[[#This Row],[V]:[KPČ]])</f>
        <v>4</v>
      </c>
      <c r="N94" s="9">
        <v>5.7812500000000003E-2</v>
      </c>
      <c r="O94" s="9">
        <f>VLOOKUP(Tabulka1628[[#This Row],[jméno, příjmení, rok narození]],Allv0[[jméno, příjmení, rok narození]:[Vlastní]],3,FALSE)</f>
        <v>2.6388888888888799E-2</v>
      </c>
      <c r="P94" s="9">
        <f>Tabulka1628[[#This Row],[cíl]]-Tabulka1628[[#This Row],[start]]</f>
        <v>3.1423611111111208E-2</v>
      </c>
      <c r="Q94" s="9"/>
      <c r="R94" s="9">
        <f>P94+TIME(0,M94,0)-Q94</f>
        <v>3.4201388888888982E-2</v>
      </c>
      <c r="S94" s="7"/>
    </row>
    <row r="95" spans="1:19" ht="14.4" x14ac:dyDescent="0.3">
      <c r="A95" s="15">
        <v>5</v>
      </c>
      <c r="B95" t="s">
        <v>80</v>
      </c>
      <c r="C95" s="19" t="s">
        <v>66</v>
      </c>
      <c r="D95" s="8"/>
      <c r="E95" s="8"/>
      <c r="F95" s="8"/>
      <c r="G95" s="8">
        <v>1</v>
      </c>
      <c r="H95" s="8"/>
      <c r="I95" s="8"/>
      <c r="J95" s="8">
        <v>1</v>
      </c>
      <c r="K95" s="8">
        <v>2</v>
      </c>
      <c r="L95" s="8"/>
      <c r="M95" s="8">
        <f>SUM(Tabulka1628[[#This Row],[V]:[KPČ]])</f>
        <v>4</v>
      </c>
      <c r="N95" s="9">
        <v>5.4131944444444448E-2</v>
      </c>
      <c r="O95" s="9">
        <f>VLOOKUP(Tabulka1628[[#This Row],[jméno, příjmení, rok narození]],Allv0[[jméno, příjmení, rok narození]:[Vlastní]],3,FALSE)</f>
        <v>2.2222222222222199E-2</v>
      </c>
      <c r="P95" s="9">
        <f>Tabulka1628[[#This Row],[cíl]]-Tabulka1628[[#This Row],[start]]</f>
        <v>3.1909722222222249E-2</v>
      </c>
      <c r="Q95" s="9">
        <v>2.3148148148148149E-4</v>
      </c>
      <c r="R95" s="9">
        <f>P95+TIME(0,M95,0)-Q95</f>
        <v>3.4456018518518546E-2</v>
      </c>
      <c r="S95" s="7"/>
    </row>
    <row r="96" spans="1:19" ht="14.4" x14ac:dyDescent="0.3">
      <c r="A96" s="15">
        <v>6</v>
      </c>
      <c r="B96" s="19" t="s">
        <v>42</v>
      </c>
      <c r="C96" s="19" t="s">
        <v>66</v>
      </c>
      <c r="D96" s="8">
        <v>2</v>
      </c>
      <c r="E96" s="8"/>
      <c r="F96" s="8"/>
      <c r="G96" s="8">
        <v>1</v>
      </c>
      <c r="H96" s="8"/>
      <c r="I96" s="8"/>
      <c r="J96" s="8">
        <v>1</v>
      </c>
      <c r="K96" s="8">
        <v>2</v>
      </c>
      <c r="L96" s="8"/>
      <c r="M96" s="8">
        <f>SUM(Tabulka1628[[#This Row],[V]:[KPČ]])</f>
        <v>6</v>
      </c>
      <c r="N96" s="9">
        <v>5.6215277777777781E-2</v>
      </c>
      <c r="O96" s="9">
        <f>VLOOKUP(Tabulka1628[[#This Row],[jméno, příjmení, rok narození]],Allv0[[jméno, příjmení, rok narození]:[Vlastní]],3,FALSE)</f>
        <v>2.43055555555555E-2</v>
      </c>
      <c r="P96" s="9">
        <f>Tabulka1628[[#This Row],[cíl]]-Tabulka1628[[#This Row],[start]]</f>
        <v>3.1909722222222284E-2</v>
      </c>
      <c r="Q96" s="9"/>
      <c r="R96" s="9">
        <f>P96+TIME(0,M96,0)-Q96</f>
        <v>3.6076388888888949E-2</v>
      </c>
      <c r="S96" s="7"/>
    </row>
    <row r="97" spans="1:19" x14ac:dyDescent="0.25">
      <c r="A97" s="8"/>
      <c r="B97" s="7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7"/>
    </row>
    <row r="98" spans="1:19" x14ac:dyDescent="0.25">
      <c r="A98" s="6"/>
      <c r="B98" s="6" t="s">
        <v>85</v>
      </c>
      <c r="C98" s="7"/>
      <c r="D98" s="12"/>
      <c r="E98" s="8"/>
      <c r="F98" s="8"/>
      <c r="G98" s="8"/>
      <c r="H98" s="8"/>
      <c r="I98" s="8"/>
      <c r="J98" s="8"/>
      <c r="K98" s="8"/>
      <c r="L98" s="8"/>
      <c r="M98" s="8"/>
      <c r="N98" s="9" t="s">
        <v>17</v>
      </c>
      <c r="O98" s="9"/>
      <c r="P98" s="9"/>
      <c r="Q98" s="9"/>
      <c r="R98" s="9"/>
      <c r="S98" s="7"/>
    </row>
    <row r="99" spans="1:19" x14ac:dyDescent="0.25">
      <c r="A99" s="8" t="s">
        <v>0</v>
      </c>
      <c r="B99" s="7" t="s">
        <v>1</v>
      </c>
      <c r="C99" s="7" t="s">
        <v>2</v>
      </c>
      <c r="D99" s="8" t="s">
        <v>3</v>
      </c>
      <c r="E99" s="8" t="s">
        <v>4</v>
      </c>
      <c r="F99" s="8" t="s">
        <v>5</v>
      </c>
      <c r="G99" s="8" t="s">
        <v>6</v>
      </c>
      <c r="H99" s="8" t="s">
        <v>7</v>
      </c>
      <c r="I99" s="8" t="s">
        <v>19</v>
      </c>
      <c r="J99" s="8" t="s">
        <v>8</v>
      </c>
      <c r="K99" s="8" t="s">
        <v>9</v>
      </c>
      <c r="L99" s="8" t="s">
        <v>10</v>
      </c>
      <c r="M99" s="8" t="s">
        <v>11</v>
      </c>
      <c r="N99" s="9" t="s">
        <v>12</v>
      </c>
      <c r="O99" s="9" t="s">
        <v>13</v>
      </c>
      <c r="P99" s="9" t="s">
        <v>14</v>
      </c>
      <c r="Q99" s="9" t="s">
        <v>15</v>
      </c>
      <c r="R99" s="9" t="s">
        <v>16</v>
      </c>
      <c r="S99" s="7"/>
    </row>
    <row r="100" spans="1:19" ht="14.4" x14ac:dyDescent="0.3">
      <c r="A100" s="15">
        <v>1</v>
      </c>
      <c r="B100" s="19" t="s">
        <v>103</v>
      </c>
      <c r="C100" s="19" t="s">
        <v>66</v>
      </c>
      <c r="D100" s="7"/>
      <c r="E100" s="8"/>
      <c r="F100" s="8"/>
      <c r="G100" s="8">
        <v>3</v>
      </c>
      <c r="H100" s="8"/>
      <c r="I100" s="8">
        <v>2</v>
      </c>
      <c r="J100" s="8"/>
      <c r="K100" s="8"/>
      <c r="L100" s="8"/>
      <c r="M100" s="8">
        <f>SUM(Tabulka1729[[#This Row],[V]:[KPČ]])</f>
        <v>5</v>
      </c>
      <c r="N100" s="9">
        <v>4.4814814814814814E-2</v>
      </c>
      <c r="O100" s="9">
        <v>6.2500000000000003E-3</v>
      </c>
      <c r="P100" s="9">
        <f>Tabulka1729[[#This Row],[cíl]]-Tabulka1729[[#This Row],[start]]</f>
        <v>3.8564814814814816E-2</v>
      </c>
      <c r="Q100" s="9">
        <v>7.5231481481481482E-4</v>
      </c>
      <c r="R100" s="9">
        <f>P100+TIME(0,M100,0)-Q100</f>
        <v>4.1284722222222223E-2</v>
      </c>
      <c r="S100" s="7"/>
    </row>
    <row r="101" spans="1:19" x14ac:dyDescent="0.25">
      <c r="A101" s="15">
        <v>1</v>
      </c>
      <c r="B101" s="45" t="s">
        <v>101</v>
      </c>
      <c r="C101" s="36" t="s">
        <v>67</v>
      </c>
      <c r="D101" s="7"/>
      <c r="E101" s="8">
        <v>1</v>
      </c>
      <c r="F101" s="8">
        <v>2</v>
      </c>
      <c r="G101" s="8">
        <v>3</v>
      </c>
      <c r="H101" s="8"/>
      <c r="I101" s="8">
        <v>2</v>
      </c>
      <c r="J101" s="8">
        <v>12</v>
      </c>
      <c r="K101" s="8">
        <v>4</v>
      </c>
      <c r="L101" s="8">
        <v>4</v>
      </c>
      <c r="M101" s="8">
        <f>SUM(Tabulka1729[[#This Row],[V]:[KPČ]])</f>
        <v>28</v>
      </c>
      <c r="N101" s="9">
        <v>3.5844907407407409E-2</v>
      </c>
      <c r="O101" s="9">
        <f>VLOOKUP(Tabulka1729[[#This Row],[jméno, příjmení, rok narození]],Allv0[[jméno, příjmení, rok narození]:[Vlastní]],3,FALSE)</f>
        <v>7.63888888888888E-3</v>
      </c>
      <c r="P101" s="9">
        <f>Tabulka1729[[#This Row],[cíl]]-Tabulka1729[[#This Row],[start]]</f>
        <v>2.820601851851853E-2</v>
      </c>
      <c r="Q101" s="9"/>
      <c r="R101" s="9">
        <f>P101+TIME(0,M101,0)-Q101</f>
        <v>4.7650462962962978E-2</v>
      </c>
      <c r="S101" s="7"/>
    </row>
    <row r="102" spans="1:19" ht="14.4" x14ac:dyDescent="0.3">
      <c r="A102" s="15">
        <v>1</v>
      </c>
      <c r="B102" s="19" t="s">
        <v>88</v>
      </c>
      <c r="C102" s="19" t="s">
        <v>66</v>
      </c>
      <c r="D102" s="7"/>
      <c r="E102" s="8"/>
      <c r="F102" s="8"/>
      <c r="G102" s="8">
        <v>3</v>
      </c>
      <c r="H102" s="8"/>
      <c r="I102" s="8">
        <v>2</v>
      </c>
      <c r="J102" s="8"/>
      <c r="K102" s="8"/>
      <c r="L102" s="8"/>
      <c r="M102" s="8">
        <f>SUM(Tabulka1729[[#This Row],[V]:[KPČ]])</f>
        <v>5</v>
      </c>
      <c r="N102" s="9">
        <v>7.8530092592592596E-2</v>
      </c>
      <c r="O102" s="9">
        <v>3.4027777777777775E-2</v>
      </c>
      <c r="P102" s="9">
        <f>Tabulka1729[[#This Row],[cíl]]-Tabulka1729[[#This Row],[start]]</f>
        <v>4.4502314814814821E-2</v>
      </c>
      <c r="Q102" s="9"/>
      <c r="R102" s="9">
        <f>P102+TIME(0,M102,0)-Q102</f>
        <v>4.7974537037037045E-2</v>
      </c>
      <c r="S102" s="7"/>
    </row>
    <row r="103" spans="1:19" x14ac:dyDescent="0.25">
      <c r="A103" s="8"/>
      <c r="B103" s="7"/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7"/>
    </row>
    <row r="104" spans="1:19" x14ac:dyDescent="0.25">
      <c r="A104" s="8"/>
      <c r="B104" s="7"/>
      <c r="C104" s="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9"/>
      <c r="O104" s="9"/>
      <c r="P104" s="9"/>
      <c r="Q104" s="9"/>
      <c r="R104" s="9"/>
      <c r="S104" s="7"/>
    </row>
    <row r="105" spans="1:19" x14ac:dyDescent="0.25">
      <c r="A105" s="8"/>
      <c r="B105" s="7"/>
      <c r="C105" s="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9"/>
      <c r="O105" s="9"/>
      <c r="P105" s="9"/>
      <c r="Q105" s="9"/>
      <c r="R105" s="9"/>
      <c r="S105" s="7"/>
    </row>
    <row r="106" spans="1:19" x14ac:dyDescent="0.25">
      <c r="A106" s="8"/>
      <c r="B106" s="7"/>
      <c r="C106" s="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9"/>
      <c r="O106" s="9"/>
      <c r="P106" s="9"/>
      <c r="Q106" s="9"/>
      <c r="R106" s="9"/>
      <c r="S106" s="7"/>
    </row>
    <row r="107" spans="1:19" x14ac:dyDescent="0.25">
      <c r="A107" s="8"/>
      <c r="B107" s="7"/>
      <c r="C107" s="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9"/>
      <c r="O107" s="9"/>
      <c r="P107" s="9"/>
      <c r="Q107" s="9"/>
      <c r="R107" s="9"/>
      <c r="S107" s="7"/>
    </row>
    <row r="108" spans="1:19" x14ac:dyDescent="0.25">
      <c r="A108" s="8"/>
      <c r="B108" s="7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7"/>
    </row>
    <row r="109" spans="1:19" x14ac:dyDescent="0.25">
      <c r="A109" s="8"/>
      <c r="B109" s="7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7"/>
    </row>
    <row r="110" spans="1:19" x14ac:dyDescent="0.25">
      <c r="A110" s="8"/>
      <c r="B110" s="7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"/>
      <c r="O110" s="9"/>
      <c r="P110" s="9"/>
      <c r="Q110" s="9"/>
      <c r="R110" s="9"/>
      <c r="S110" s="7"/>
    </row>
    <row r="111" spans="1:19" x14ac:dyDescent="0.25">
      <c r="A111" s="8"/>
      <c r="B111" s="7"/>
      <c r="C111" s="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  <c r="O111" s="9"/>
      <c r="P111" s="9"/>
      <c r="Q111" s="9"/>
      <c r="R111" s="9"/>
      <c r="S111" s="7"/>
    </row>
    <row r="112" spans="1:19" x14ac:dyDescent="0.25">
      <c r="A112" s="8"/>
      <c r="B112" s="7"/>
      <c r="C112" s="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7"/>
    </row>
    <row r="113" spans="1:19" x14ac:dyDescent="0.25">
      <c r="A113" s="8"/>
      <c r="B113" s="7"/>
      <c r="C113" s="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  <c r="O113" s="9"/>
      <c r="P113" s="9"/>
      <c r="Q113" s="9"/>
      <c r="R113" s="9"/>
      <c r="S113" s="7"/>
    </row>
    <row r="114" spans="1:19" x14ac:dyDescent="0.25">
      <c r="A114" s="8"/>
      <c r="B114" s="7"/>
      <c r="C114" s="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  <c r="O114" s="9"/>
      <c r="P114" s="9"/>
      <c r="Q114" s="9"/>
      <c r="R114" s="9"/>
      <c r="S114" s="7"/>
    </row>
    <row r="115" spans="1:19" x14ac:dyDescent="0.25">
      <c r="A115" s="8"/>
      <c r="B115" s="7"/>
      <c r="C115" s="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9"/>
      <c r="O115" s="9"/>
      <c r="P115" s="9"/>
      <c r="Q115" s="9"/>
      <c r="R115" s="9"/>
      <c r="S115" s="7"/>
    </row>
    <row r="116" spans="1:19" x14ac:dyDescent="0.25">
      <c r="A116" s="8"/>
      <c r="B116" s="7"/>
      <c r="C116" s="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9"/>
      <c r="O116" s="9"/>
      <c r="P116" s="9"/>
      <c r="Q116" s="9"/>
      <c r="R116" s="9"/>
      <c r="S116" s="7"/>
    </row>
    <row r="117" spans="1:19" x14ac:dyDescent="0.25">
      <c r="A117" s="8"/>
      <c r="B117" s="7"/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7"/>
    </row>
    <row r="118" spans="1:19" x14ac:dyDescent="0.25">
      <c r="A118" s="8"/>
      <c r="B118" s="7"/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/>
      <c r="O118" s="9"/>
      <c r="P118" s="9"/>
      <c r="Q118" s="9"/>
      <c r="R118" s="9"/>
      <c r="S118" s="7"/>
    </row>
    <row r="119" spans="1:19" x14ac:dyDescent="0.25">
      <c r="A119" s="8"/>
      <c r="B119" s="7"/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/>
      <c r="P119" s="9"/>
      <c r="Q119" s="9"/>
      <c r="R119" s="9"/>
      <c r="S119" s="7"/>
    </row>
    <row r="120" spans="1:19" x14ac:dyDescent="0.25">
      <c r="A120" s="8"/>
      <c r="B120" s="7"/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/>
      <c r="P120" s="9"/>
      <c r="Q120" s="9"/>
      <c r="R120" s="9"/>
      <c r="S120" s="7"/>
    </row>
    <row r="121" spans="1:19" x14ac:dyDescent="0.25">
      <c r="A121" s="8"/>
      <c r="B121" s="7"/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7"/>
    </row>
    <row r="122" spans="1:19" x14ac:dyDescent="0.25">
      <c r="A122" s="8"/>
      <c r="B122" s="7"/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7"/>
    </row>
    <row r="123" spans="1:19" x14ac:dyDescent="0.25">
      <c r="A123" s="8"/>
      <c r="B123" s="7"/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7"/>
    </row>
    <row r="124" spans="1:19" x14ac:dyDescent="0.25">
      <c r="A124" s="8"/>
      <c r="B124" s="7"/>
      <c r="C124" s="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7"/>
    </row>
    <row r="125" spans="1:19" x14ac:dyDescent="0.25">
      <c r="A125" s="8"/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9"/>
      <c r="O125" s="9"/>
      <c r="P125" s="9"/>
      <c r="Q125" s="9"/>
      <c r="R125" s="9"/>
      <c r="S125" s="7"/>
    </row>
    <row r="126" spans="1:19" x14ac:dyDescent="0.25">
      <c r="A126" s="8"/>
      <c r="B126" s="7"/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9"/>
      <c r="O126" s="9"/>
      <c r="P126" s="9"/>
      <c r="Q126" s="9"/>
      <c r="R126" s="9"/>
      <c r="S126" s="7"/>
    </row>
    <row r="127" spans="1:19" x14ac:dyDescent="0.25">
      <c r="A127" s="8"/>
      <c r="B127" s="7"/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9"/>
      <c r="O127" s="9"/>
      <c r="P127" s="9"/>
      <c r="Q127" s="9"/>
      <c r="R127" s="9"/>
      <c r="S127" s="7"/>
    </row>
    <row r="128" spans="1:19" x14ac:dyDescent="0.25">
      <c r="A128" s="8"/>
      <c r="B128" s="7"/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9"/>
      <c r="O128" s="9"/>
      <c r="P128" s="9"/>
      <c r="Q128" s="9"/>
      <c r="R128" s="9"/>
      <c r="S128" s="7"/>
    </row>
    <row r="129" spans="1:19" x14ac:dyDescent="0.25">
      <c r="A129" s="8"/>
      <c r="B129" s="7"/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9"/>
      <c r="O129" s="9"/>
      <c r="P129" s="9"/>
      <c r="Q129" s="9"/>
      <c r="R129" s="9"/>
      <c r="S129" s="7"/>
    </row>
    <row r="130" spans="1:19" x14ac:dyDescent="0.25">
      <c r="A130" s="8"/>
      <c r="B130" s="7"/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9"/>
      <c r="P130" s="9"/>
      <c r="Q130" s="9"/>
      <c r="R130" s="9"/>
      <c r="S130" s="7"/>
    </row>
    <row r="131" spans="1:19" x14ac:dyDescent="0.25">
      <c r="A131" s="8"/>
      <c r="B131" s="7"/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7"/>
    </row>
    <row r="132" spans="1:19" x14ac:dyDescent="0.25">
      <c r="A132" s="8"/>
      <c r="B132" s="7"/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9"/>
      <c r="O132" s="9"/>
      <c r="P132" s="9"/>
      <c r="Q132" s="9"/>
      <c r="R132" s="9"/>
      <c r="S132" s="7"/>
    </row>
    <row r="133" spans="1:19" x14ac:dyDescent="0.25">
      <c r="A133" s="8"/>
      <c r="B133" s="7"/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7"/>
    </row>
    <row r="134" spans="1:19" x14ac:dyDescent="0.25">
      <c r="A134" s="8"/>
      <c r="B134" s="7"/>
      <c r="C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9"/>
      <c r="R134" s="9"/>
      <c r="S134" s="7"/>
    </row>
    <row r="135" spans="1:19" x14ac:dyDescent="0.25">
      <c r="A135" s="8"/>
      <c r="B135" s="7"/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"/>
      <c r="O135" s="9"/>
      <c r="P135" s="9"/>
      <c r="Q135" s="9"/>
      <c r="R135" s="9"/>
      <c r="S135" s="7"/>
    </row>
    <row r="136" spans="1:19" x14ac:dyDescent="0.25">
      <c r="A136" s="8"/>
      <c r="B136" s="7"/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9"/>
      <c r="O136" s="9"/>
      <c r="P136" s="9"/>
      <c r="Q136" s="9"/>
      <c r="R136" s="9"/>
      <c r="S136" s="7"/>
    </row>
    <row r="137" spans="1:19" x14ac:dyDescent="0.25">
      <c r="A137" s="8"/>
      <c r="B137" s="7"/>
      <c r="C137" s="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9"/>
      <c r="O137" s="9"/>
      <c r="P137" s="9"/>
      <c r="Q137" s="9"/>
      <c r="R137" s="9"/>
      <c r="S137" s="7"/>
    </row>
    <row r="138" spans="1:19" x14ac:dyDescent="0.25">
      <c r="A138" s="8"/>
      <c r="B138" s="7"/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9"/>
      <c r="O138" s="9"/>
      <c r="P138" s="9"/>
      <c r="Q138" s="9"/>
      <c r="R138" s="9"/>
      <c r="S138" s="7"/>
    </row>
    <row r="139" spans="1:19" x14ac:dyDescent="0.25">
      <c r="A139" s="8"/>
      <c r="B139" s="7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9"/>
      <c r="O139" s="9"/>
      <c r="P139" s="9"/>
      <c r="Q139" s="9"/>
      <c r="R139" s="9"/>
      <c r="S139" s="7"/>
    </row>
    <row r="140" spans="1:19" x14ac:dyDescent="0.25">
      <c r="A140" s="8"/>
      <c r="B140" s="7"/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9"/>
      <c r="O140" s="9"/>
      <c r="P140" s="9"/>
      <c r="Q140" s="9"/>
      <c r="R140" s="9"/>
      <c r="S140" s="7"/>
    </row>
    <row r="141" spans="1:19" x14ac:dyDescent="0.25">
      <c r="A141" s="8"/>
      <c r="B141" s="7"/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  <c r="O141" s="9"/>
      <c r="P141" s="9"/>
      <c r="Q141" s="9"/>
      <c r="R141" s="9"/>
      <c r="S141" s="7"/>
    </row>
    <row r="142" spans="1:19" x14ac:dyDescent="0.25">
      <c r="A142" s="8"/>
      <c r="B142" s="7"/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9"/>
      <c r="O142" s="9"/>
      <c r="P142" s="9"/>
      <c r="Q142" s="9"/>
      <c r="R142" s="9"/>
      <c r="S142" s="7"/>
    </row>
    <row r="143" spans="1:19" x14ac:dyDescent="0.25">
      <c r="A143" s="8"/>
      <c r="B143" s="7"/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"/>
      <c r="O143" s="9"/>
      <c r="P143" s="9"/>
      <c r="Q143" s="9"/>
      <c r="R143" s="9"/>
      <c r="S143" s="7"/>
    </row>
    <row r="144" spans="1:19" x14ac:dyDescent="0.25">
      <c r="A144" s="8"/>
      <c r="B144" s="7"/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9"/>
      <c r="O144" s="9"/>
      <c r="P144" s="9"/>
      <c r="Q144" s="9"/>
      <c r="R144" s="9"/>
      <c r="S144" s="7"/>
    </row>
    <row r="145" spans="1:19" x14ac:dyDescent="0.25">
      <c r="A145" s="8"/>
      <c r="B145" s="7"/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9"/>
      <c r="O145" s="9"/>
      <c r="P145" s="9"/>
      <c r="Q145" s="9"/>
      <c r="R145" s="9"/>
      <c r="S145" s="7"/>
    </row>
    <row r="146" spans="1:19" x14ac:dyDescent="0.25">
      <c r="A146" s="8"/>
      <c r="B146" s="7"/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7"/>
    </row>
    <row r="147" spans="1:19" x14ac:dyDescent="0.25">
      <c r="A147" s="8"/>
      <c r="B147" s="7"/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9"/>
      <c r="O147" s="9"/>
      <c r="P147" s="9"/>
      <c r="Q147" s="9"/>
      <c r="R147" s="9"/>
      <c r="S147" s="7"/>
    </row>
    <row r="148" spans="1:19" x14ac:dyDescent="0.25">
      <c r="A148" s="8"/>
      <c r="B148" s="7"/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9"/>
      <c r="O148" s="9"/>
      <c r="P148" s="9"/>
      <c r="Q148" s="9"/>
      <c r="R148" s="9"/>
      <c r="S148" s="7"/>
    </row>
    <row r="149" spans="1:19" x14ac:dyDescent="0.25">
      <c r="A149" s="8"/>
      <c r="B149" s="7"/>
      <c r="C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/>
      <c r="P149" s="9"/>
      <c r="Q149" s="9"/>
      <c r="R149" s="9"/>
      <c r="S149" s="7"/>
    </row>
    <row r="150" spans="1:19" x14ac:dyDescent="0.25">
      <c r="A150" s="8"/>
      <c r="B150" s="7"/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9"/>
      <c r="O150" s="9"/>
      <c r="P150" s="9"/>
      <c r="Q150" s="9"/>
      <c r="R150" s="9"/>
      <c r="S150" s="7"/>
    </row>
    <row r="151" spans="1:19" x14ac:dyDescent="0.25">
      <c r="A151" s="8"/>
      <c r="B151" s="7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9"/>
      <c r="O151" s="9"/>
      <c r="P151" s="9"/>
      <c r="Q151" s="9"/>
      <c r="R151" s="9"/>
      <c r="S151" s="7"/>
    </row>
    <row r="152" spans="1:19" x14ac:dyDescent="0.25">
      <c r="A152" s="8"/>
      <c r="B152" s="7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7"/>
    </row>
    <row r="153" spans="1:19" x14ac:dyDescent="0.25">
      <c r="A153" s="8"/>
      <c r="B153" s="7"/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9"/>
      <c r="O153" s="9"/>
      <c r="P153" s="9"/>
      <c r="Q153" s="9"/>
      <c r="R153" s="9"/>
      <c r="S153" s="7"/>
    </row>
    <row r="154" spans="1:19" x14ac:dyDescent="0.25">
      <c r="A154" s="8"/>
      <c r="B154" s="7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9"/>
      <c r="O154" s="9"/>
      <c r="P154" s="9"/>
      <c r="Q154" s="9"/>
      <c r="R154" s="9"/>
      <c r="S154" s="7"/>
    </row>
    <row r="155" spans="1:19" x14ac:dyDescent="0.25">
      <c r="A155" s="8"/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9"/>
      <c r="O155" s="9"/>
      <c r="P155" s="9"/>
      <c r="Q155" s="9"/>
      <c r="R155" s="9"/>
      <c r="S155" s="7"/>
    </row>
    <row r="156" spans="1:19" x14ac:dyDescent="0.25">
      <c r="A156" s="8"/>
      <c r="B156" s="7"/>
      <c r="C156" s="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9"/>
      <c r="O156" s="9"/>
      <c r="P156" s="9"/>
      <c r="Q156" s="9"/>
      <c r="R156" s="9"/>
      <c r="S156" s="7"/>
    </row>
    <row r="157" spans="1:19" x14ac:dyDescent="0.25">
      <c r="A157" s="8"/>
      <c r="B157" s="7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9"/>
      <c r="O157" s="9"/>
      <c r="P157" s="9"/>
      <c r="Q157" s="9"/>
      <c r="R157" s="9"/>
      <c r="S157" s="7"/>
    </row>
    <row r="158" spans="1:19" x14ac:dyDescent="0.25">
      <c r="A158" s="8"/>
      <c r="B158" s="7"/>
      <c r="C158" s="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9"/>
      <c r="O158" s="9"/>
      <c r="P158" s="9"/>
      <c r="Q158" s="9"/>
      <c r="R158" s="9"/>
      <c r="S158" s="7"/>
    </row>
    <row r="159" spans="1:19" x14ac:dyDescent="0.25">
      <c r="A159" s="8"/>
      <c r="B159" s="7"/>
      <c r="C159" s="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9"/>
      <c r="O159" s="9"/>
      <c r="P159" s="9"/>
      <c r="Q159" s="9"/>
      <c r="R159" s="9"/>
      <c r="S159" s="7"/>
    </row>
    <row r="160" spans="1:19" x14ac:dyDescent="0.25">
      <c r="A160" s="8"/>
      <c r="B160" s="7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9"/>
      <c r="O160" s="9"/>
      <c r="P160" s="9"/>
      <c r="Q160" s="9"/>
      <c r="R160" s="9"/>
      <c r="S160" s="7"/>
    </row>
    <row r="161" spans="1:19" x14ac:dyDescent="0.25">
      <c r="A161" s="8"/>
      <c r="B161" s="7"/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/>
      <c r="P161" s="9"/>
      <c r="Q161" s="9"/>
      <c r="R161" s="9"/>
      <c r="S161" s="7"/>
    </row>
    <row r="162" spans="1:19" x14ac:dyDescent="0.25">
      <c r="A162" s="8"/>
      <c r="B162" s="7"/>
      <c r="C162" s="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/>
      <c r="P162" s="9"/>
      <c r="Q162" s="9"/>
      <c r="R162" s="9"/>
      <c r="S162" s="7"/>
    </row>
    <row r="163" spans="1:19" x14ac:dyDescent="0.25">
      <c r="A163" s="8"/>
      <c r="B163" s="7"/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/>
      <c r="Q163" s="9"/>
      <c r="R163" s="9"/>
      <c r="S163" s="7"/>
    </row>
    <row r="164" spans="1:19" x14ac:dyDescent="0.25">
      <c r="A164" s="8"/>
      <c r="B164" s="7"/>
      <c r="C164" s="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"/>
      <c r="O164" s="9"/>
      <c r="P164" s="9"/>
      <c r="Q164" s="9"/>
      <c r="R164" s="9"/>
      <c r="S164" s="7"/>
    </row>
    <row r="165" spans="1:19" x14ac:dyDescent="0.25">
      <c r="A165" s="8"/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9"/>
      <c r="O165" s="9"/>
      <c r="P165" s="9"/>
      <c r="Q165" s="9"/>
      <c r="R165" s="9"/>
      <c r="S165" s="7"/>
    </row>
    <row r="166" spans="1:19" x14ac:dyDescent="0.25">
      <c r="A166" s="8"/>
      <c r="B166" s="7"/>
      <c r="C166" s="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"/>
      <c r="O166" s="9"/>
      <c r="P166" s="9"/>
      <c r="Q166" s="9"/>
      <c r="R166" s="9"/>
      <c r="S166" s="7"/>
    </row>
    <row r="167" spans="1:19" x14ac:dyDescent="0.25">
      <c r="A167" s="8"/>
      <c r="B167" s="7"/>
      <c r="C167" s="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9"/>
      <c r="O167" s="9"/>
      <c r="P167" s="9"/>
      <c r="Q167" s="9"/>
      <c r="R167" s="9"/>
      <c r="S167" s="7"/>
    </row>
    <row r="168" spans="1:19" x14ac:dyDescent="0.25">
      <c r="A168" s="8"/>
      <c r="B168" s="7"/>
      <c r="C168" s="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9"/>
      <c r="O168" s="9"/>
      <c r="P168" s="9"/>
      <c r="Q168" s="9"/>
      <c r="R168" s="9"/>
      <c r="S168" s="7"/>
    </row>
    <row r="169" spans="1:19" x14ac:dyDescent="0.25">
      <c r="A169" s="8"/>
      <c r="B169" s="7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9"/>
      <c r="P169" s="9"/>
      <c r="Q169" s="9"/>
      <c r="R169" s="9"/>
      <c r="S169" s="7"/>
    </row>
    <row r="170" spans="1:19" x14ac:dyDescent="0.25">
      <c r="A170" s="8"/>
      <c r="B170" s="7"/>
      <c r="C170" s="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9"/>
      <c r="P170" s="9"/>
      <c r="Q170" s="9"/>
      <c r="R170" s="9"/>
      <c r="S170" s="7"/>
    </row>
    <row r="171" spans="1:19" x14ac:dyDescent="0.25">
      <c r="A171" s="8"/>
      <c r="B171" s="7"/>
      <c r="C171" s="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9"/>
      <c r="O171" s="9"/>
      <c r="P171" s="9"/>
      <c r="Q171" s="9"/>
      <c r="R171" s="9"/>
      <c r="S171" s="7"/>
    </row>
    <row r="172" spans="1:19" x14ac:dyDescent="0.25">
      <c r="A172" s="8"/>
      <c r="B172" s="7"/>
      <c r="C172" s="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9"/>
      <c r="O172" s="9"/>
      <c r="P172" s="9"/>
      <c r="Q172" s="9"/>
      <c r="R172" s="9"/>
      <c r="S172" s="7"/>
    </row>
    <row r="173" spans="1:19" x14ac:dyDescent="0.25">
      <c r="A173" s="8"/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/>
      <c r="P173" s="9"/>
      <c r="Q173" s="9"/>
      <c r="R173" s="9"/>
      <c r="S173" s="7"/>
    </row>
    <row r="174" spans="1:19" x14ac:dyDescent="0.25">
      <c r="A174" s="8"/>
      <c r="B174" s="7"/>
      <c r="C174" s="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9"/>
      <c r="O174" s="9"/>
      <c r="P174" s="9"/>
      <c r="Q174" s="9"/>
      <c r="R174" s="9"/>
      <c r="S174" s="7"/>
    </row>
    <row r="175" spans="1:19" x14ac:dyDescent="0.25">
      <c r="A175" s="8"/>
      <c r="B175" s="7"/>
      <c r="C175" s="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/>
      <c r="P175" s="9"/>
      <c r="Q175" s="9"/>
      <c r="R175" s="9"/>
      <c r="S175" s="7"/>
    </row>
    <row r="176" spans="1:19" x14ac:dyDescent="0.25">
      <c r="A176" s="8"/>
      <c r="B176" s="7"/>
      <c r="C176" s="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/>
      <c r="Q176" s="9"/>
      <c r="R176" s="9"/>
      <c r="S176" s="7"/>
    </row>
    <row r="177" spans="1:19" x14ac:dyDescent="0.25">
      <c r="A177" s="8"/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9"/>
      <c r="O177" s="9"/>
      <c r="P177" s="9"/>
      <c r="Q177" s="9"/>
      <c r="R177" s="9"/>
      <c r="S177" s="7"/>
    </row>
    <row r="178" spans="1:19" x14ac:dyDescent="0.25">
      <c r="A178" s="8"/>
      <c r="B178" s="7"/>
      <c r="C178" s="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7"/>
    </row>
    <row r="179" spans="1:19" x14ac:dyDescent="0.25">
      <c r="A179" s="8"/>
      <c r="B179" s="7"/>
      <c r="C179" s="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9"/>
      <c r="O179" s="9"/>
      <c r="P179" s="9"/>
      <c r="Q179" s="9"/>
      <c r="R179" s="9"/>
      <c r="S179" s="7"/>
    </row>
    <row r="180" spans="1:19" x14ac:dyDescent="0.25">
      <c r="A180" s="8"/>
      <c r="B180" s="7"/>
      <c r="C180" s="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9"/>
      <c r="O180" s="9"/>
      <c r="P180" s="9"/>
      <c r="Q180" s="9"/>
      <c r="R180" s="9"/>
      <c r="S180" s="7"/>
    </row>
    <row r="181" spans="1:19" x14ac:dyDescent="0.25">
      <c r="A181" s="8"/>
      <c r="B181" s="7"/>
      <c r="C181" s="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9"/>
      <c r="O181" s="9"/>
      <c r="P181" s="9"/>
      <c r="Q181" s="9"/>
      <c r="R181" s="9"/>
      <c r="S181" s="7"/>
    </row>
    <row r="182" spans="1:19" x14ac:dyDescent="0.25">
      <c r="A182" s="8"/>
      <c r="B182" s="7"/>
      <c r="C182" s="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9"/>
      <c r="O182" s="9"/>
      <c r="P182" s="9"/>
      <c r="Q182" s="9"/>
      <c r="R182" s="9"/>
      <c r="S182" s="7"/>
    </row>
    <row r="183" spans="1:19" x14ac:dyDescent="0.25">
      <c r="A183" s="8"/>
      <c r="B183" s="7"/>
      <c r="C183" s="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7"/>
    </row>
    <row r="184" spans="1:19" x14ac:dyDescent="0.25">
      <c r="A184" s="8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7"/>
    </row>
    <row r="185" spans="1:19" x14ac:dyDescent="0.25">
      <c r="A185" s="8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7"/>
    </row>
    <row r="186" spans="1:19" x14ac:dyDescent="0.25">
      <c r="A186" s="8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7"/>
    </row>
    <row r="187" spans="1:19" x14ac:dyDescent="0.25">
      <c r="A187" s="8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7"/>
    </row>
    <row r="188" spans="1:19" x14ac:dyDescent="0.25">
      <c r="A188" s="8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  <c r="Q188" s="9"/>
      <c r="R188" s="9"/>
      <c r="S188" s="7"/>
    </row>
    <row r="189" spans="1:19" x14ac:dyDescent="0.25">
      <c r="A189" s="8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7"/>
    </row>
    <row r="190" spans="1:19" x14ac:dyDescent="0.25">
      <c r="A190" s="8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  <c r="Q190" s="9"/>
      <c r="R190" s="9"/>
      <c r="S190" s="7"/>
    </row>
    <row r="191" spans="1:19" x14ac:dyDescent="0.25">
      <c r="A191" s="8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  <c r="Q191" s="9"/>
      <c r="R191" s="9"/>
      <c r="S191" s="7"/>
    </row>
    <row r="192" spans="1:19" x14ac:dyDescent="0.25">
      <c r="A192" s="8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7"/>
    </row>
    <row r="193" spans="1:19" x14ac:dyDescent="0.25">
      <c r="A193" s="8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  <c r="Q193" s="9"/>
      <c r="R193" s="9"/>
      <c r="S193" s="7"/>
    </row>
    <row r="194" spans="1:19" x14ac:dyDescent="0.25">
      <c r="A194" s="8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7"/>
    </row>
    <row r="195" spans="1:19" x14ac:dyDescent="0.25">
      <c r="A195" s="8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  <c r="Q195" s="9"/>
      <c r="R195" s="9"/>
      <c r="S195" s="7"/>
    </row>
    <row r="196" spans="1:19" x14ac:dyDescent="0.25">
      <c r="A196" s="8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  <c r="Q196" s="9"/>
      <c r="R196" s="9"/>
      <c r="S196" s="7"/>
    </row>
    <row r="197" spans="1:19" x14ac:dyDescent="0.25">
      <c r="A197" s="8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7"/>
    </row>
    <row r="198" spans="1:19" x14ac:dyDescent="0.25">
      <c r="A198" s="8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  <c r="Q198" s="9"/>
      <c r="R198" s="9"/>
      <c r="S198" s="7"/>
    </row>
    <row r="199" spans="1:19" x14ac:dyDescent="0.25">
      <c r="A199" s="8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  <c r="Q199" s="9"/>
      <c r="R199" s="9"/>
      <c r="S199" s="7"/>
    </row>
    <row r="200" spans="1:19" x14ac:dyDescent="0.25">
      <c r="A200" s="8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7"/>
    </row>
    <row r="201" spans="1:19" x14ac:dyDescent="0.25">
      <c r="A201" s="8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  <c r="O201" s="9"/>
      <c r="P201" s="9"/>
      <c r="Q201" s="9"/>
      <c r="R201" s="9"/>
      <c r="S201" s="7"/>
    </row>
    <row r="202" spans="1:19" x14ac:dyDescent="0.25">
      <c r="A202" s="8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  <c r="Q202" s="9"/>
      <c r="R202" s="9"/>
      <c r="S202" s="7"/>
    </row>
    <row r="203" spans="1:19" x14ac:dyDescent="0.25">
      <c r="A203" s="8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  <c r="Q203" s="9"/>
      <c r="R203" s="9"/>
      <c r="S203" s="7"/>
    </row>
    <row r="204" spans="1:19" x14ac:dyDescent="0.25">
      <c r="A204" s="8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  <c r="Q204" s="9"/>
      <c r="R204" s="9"/>
      <c r="S204" s="7"/>
    </row>
    <row r="205" spans="1:19" x14ac:dyDescent="0.25">
      <c r="A205" s="8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  <c r="Q205" s="9"/>
      <c r="R205" s="9"/>
      <c r="S205" s="7"/>
    </row>
    <row r="206" spans="1:19" x14ac:dyDescent="0.25">
      <c r="A206" s="8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  <c r="Q206" s="9"/>
      <c r="R206" s="9"/>
      <c r="S206" s="7"/>
    </row>
    <row r="207" spans="1:19" x14ac:dyDescent="0.25">
      <c r="A207" s="8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  <c r="O207" s="9"/>
      <c r="P207" s="9"/>
      <c r="Q207" s="9"/>
      <c r="R207" s="9"/>
      <c r="S207" s="7"/>
    </row>
    <row r="208" spans="1:19" x14ac:dyDescent="0.25">
      <c r="A208" s="8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  <c r="O208" s="9"/>
      <c r="P208" s="9"/>
      <c r="Q208" s="9"/>
      <c r="R208" s="9"/>
    </row>
    <row r="209" spans="2:18" x14ac:dyDescent="0.25"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  <c r="O209" s="9"/>
      <c r="P209" s="9"/>
      <c r="Q209" s="9"/>
      <c r="R209" s="9"/>
    </row>
    <row r="210" spans="2:18" x14ac:dyDescent="0.25"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  <c r="O210" s="9"/>
      <c r="P210" s="9"/>
      <c r="Q210" s="9"/>
      <c r="R210" s="9"/>
    </row>
  </sheetData>
  <mergeCells count="3">
    <mergeCell ref="L4:N4"/>
    <mergeCell ref="L3:N3"/>
    <mergeCell ref="L2:N2"/>
  </mergeCells>
  <dataValidations count="1">
    <dataValidation type="list" allowBlank="1" showInputMessage="1" sqref="C7:C11 C91:C96 C84:C87 C69:C73 C64:C65 C52:C53 C36 C40:C44 C30:C32 C15:C17 C22:C26 C48 C100:C102 C57:C61 C77:C81" xr:uid="{AC2ADA33-B630-43BA-84E2-9994BBF4D4EF}">
      <formula1>$M$2:$M$4</formula1>
    </dataValidation>
  </dataValidations>
  <pageMargins left="0.7" right="0.7" top="0.78740157499999996" bottom="0.78740157499999996" header="0.3" footer="0.3"/>
  <pageSetup paperSize="9" scale="36" orientation="landscape" verticalDpi="0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246A7-AE8D-4106-A74D-FEDFF7AE6256}">
  <dimension ref="A1:P53"/>
  <sheetViews>
    <sheetView topLeftCell="A40" zoomScaleNormal="100" zoomScalePageLayoutView="115" workbookViewId="0">
      <selection activeCell="A53" sqref="A53:XFD53"/>
    </sheetView>
  </sheetViews>
  <sheetFormatPr defaultRowHeight="13.2" x14ac:dyDescent="0.25"/>
  <cols>
    <col min="1" max="1" width="10.88671875" bestFit="1" customWidth="1"/>
    <col min="2" max="2" width="33" bestFit="1" customWidth="1"/>
    <col min="3" max="3" width="18" bestFit="1" customWidth="1"/>
    <col min="4" max="4" width="8.33203125" bestFit="1" customWidth="1"/>
    <col min="5" max="5" width="24" bestFit="1" customWidth="1"/>
    <col min="6" max="6" width="10.44140625" bestFit="1" customWidth="1"/>
    <col min="9" max="9" width="7.6640625" customWidth="1"/>
    <col min="10" max="10" width="9.77734375" customWidth="1"/>
    <col min="11" max="11" width="33" bestFit="1" customWidth="1"/>
    <col min="12" max="12" width="8.33203125" customWidth="1"/>
    <col min="13" max="13" width="10.33203125" customWidth="1"/>
    <col min="14" max="14" width="24.109375" bestFit="1" customWidth="1"/>
    <col min="15" max="15" width="8.88671875" bestFit="1" customWidth="1"/>
    <col min="16" max="22" width="11.88671875" bestFit="1" customWidth="1"/>
    <col min="23" max="23" width="12.21875" bestFit="1" customWidth="1"/>
    <col min="24" max="24" width="11.88671875" bestFit="1" customWidth="1"/>
    <col min="25" max="25" width="20.77734375" bestFit="1" customWidth="1"/>
  </cols>
  <sheetData>
    <row r="1" spans="1:13" x14ac:dyDescent="0.25">
      <c r="A1" t="s">
        <v>99</v>
      </c>
      <c r="B1" t="s">
        <v>1</v>
      </c>
      <c r="C1" t="s">
        <v>2</v>
      </c>
      <c r="D1" t="s">
        <v>13</v>
      </c>
      <c r="E1" t="s">
        <v>52</v>
      </c>
      <c r="F1" t="s">
        <v>89</v>
      </c>
    </row>
    <row r="2" spans="1:13" x14ac:dyDescent="0.25">
      <c r="A2" s="29">
        <v>1</v>
      </c>
      <c r="B2" t="s">
        <v>34</v>
      </c>
      <c r="C2" t="s">
        <v>66</v>
      </c>
      <c r="D2" s="22">
        <v>6.9444444444444447E-4</v>
      </c>
      <c r="E2" t="s">
        <v>63</v>
      </c>
      <c r="F2" t="s">
        <v>97</v>
      </c>
      <c r="J2" s="29"/>
      <c r="M2" s="22"/>
    </row>
    <row r="3" spans="1:13" x14ac:dyDescent="0.25">
      <c r="A3" s="29">
        <v>3</v>
      </c>
      <c r="B3" t="s">
        <v>79</v>
      </c>
      <c r="C3" t="s">
        <v>66</v>
      </c>
      <c r="D3" s="22">
        <v>2.0833333333333298E-3</v>
      </c>
      <c r="E3" t="s">
        <v>62</v>
      </c>
      <c r="F3" t="s">
        <v>97</v>
      </c>
      <c r="J3" s="29"/>
      <c r="M3" s="22"/>
    </row>
    <row r="4" spans="1:13" x14ac:dyDescent="0.25">
      <c r="A4" s="29">
        <v>5</v>
      </c>
      <c r="B4" t="s">
        <v>78</v>
      </c>
      <c r="C4" t="s">
        <v>66</v>
      </c>
      <c r="D4" s="22">
        <v>3.4722222222222199E-3</v>
      </c>
      <c r="E4" t="s">
        <v>62</v>
      </c>
      <c r="F4" t="s">
        <v>97</v>
      </c>
      <c r="J4" s="29"/>
      <c r="M4" s="22"/>
    </row>
    <row r="5" spans="1:13" x14ac:dyDescent="0.25">
      <c r="A5" s="29">
        <v>16</v>
      </c>
      <c r="B5" t="s">
        <v>88</v>
      </c>
      <c r="C5" t="s">
        <v>66</v>
      </c>
      <c r="D5" s="22">
        <v>6.2500000000000003E-3</v>
      </c>
      <c r="E5" t="s">
        <v>85</v>
      </c>
      <c r="F5" t="s">
        <v>95</v>
      </c>
      <c r="J5" s="29"/>
      <c r="M5" s="22"/>
    </row>
    <row r="6" spans="1:13" x14ac:dyDescent="0.25">
      <c r="A6" s="29">
        <v>17</v>
      </c>
      <c r="B6" t="s">
        <v>74</v>
      </c>
      <c r="C6" t="s">
        <v>66</v>
      </c>
      <c r="D6" s="22">
        <v>1.18055555555555E-2</v>
      </c>
      <c r="E6" t="s">
        <v>60</v>
      </c>
      <c r="F6" t="s">
        <v>97</v>
      </c>
      <c r="J6" s="29"/>
      <c r="M6" s="22"/>
    </row>
    <row r="7" spans="1:13" x14ac:dyDescent="0.25">
      <c r="A7" s="29">
        <v>18</v>
      </c>
      <c r="B7" t="s">
        <v>27</v>
      </c>
      <c r="C7" t="s">
        <v>66</v>
      </c>
      <c r="D7" s="22">
        <v>1.2500000000000001E-2</v>
      </c>
      <c r="E7" t="s">
        <v>54</v>
      </c>
      <c r="F7" t="s">
        <v>96</v>
      </c>
      <c r="J7" s="29"/>
      <c r="M7" s="22"/>
    </row>
    <row r="8" spans="1:13" x14ac:dyDescent="0.25">
      <c r="A8" s="29">
        <v>21</v>
      </c>
      <c r="B8" t="s">
        <v>21</v>
      </c>
      <c r="C8" t="s">
        <v>66</v>
      </c>
      <c r="D8" s="22">
        <v>1.4583333333333301E-2</v>
      </c>
      <c r="E8" t="s">
        <v>54</v>
      </c>
      <c r="F8" t="s">
        <v>96</v>
      </c>
      <c r="J8" s="29"/>
      <c r="M8" s="22"/>
    </row>
    <row r="9" spans="1:13" x14ac:dyDescent="0.25">
      <c r="A9" s="29">
        <v>22</v>
      </c>
      <c r="B9" t="s">
        <v>69</v>
      </c>
      <c r="C9" t="s">
        <v>66</v>
      </c>
      <c r="D9" s="22">
        <v>1.5277777777777699E-2</v>
      </c>
      <c r="E9" t="s">
        <v>52</v>
      </c>
      <c r="F9" t="s">
        <v>95</v>
      </c>
      <c r="J9" s="29"/>
      <c r="M9" s="22"/>
    </row>
    <row r="10" spans="1:13" x14ac:dyDescent="0.25">
      <c r="A10" s="29">
        <v>23</v>
      </c>
      <c r="B10" t="s">
        <v>41</v>
      </c>
      <c r="C10" t="s">
        <v>66</v>
      </c>
      <c r="D10" s="22">
        <v>1.59722222222222E-2</v>
      </c>
      <c r="E10" t="s">
        <v>64</v>
      </c>
      <c r="F10" t="s">
        <v>97</v>
      </c>
      <c r="J10" s="29"/>
      <c r="M10" s="22"/>
    </row>
    <row r="11" spans="1:13" x14ac:dyDescent="0.25">
      <c r="A11" s="29">
        <v>24</v>
      </c>
      <c r="B11" t="s">
        <v>29</v>
      </c>
      <c r="C11" t="s">
        <v>66</v>
      </c>
      <c r="D11" s="22">
        <v>1.6666666666666601E-2</v>
      </c>
      <c r="E11" t="s">
        <v>58</v>
      </c>
      <c r="F11" t="s">
        <v>97</v>
      </c>
      <c r="J11" s="29"/>
      <c r="M11" s="22"/>
    </row>
    <row r="12" spans="1:13" x14ac:dyDescent="0.25">
      <c r="A12" s="29">
        <v>25</v>
      </c>
      <c r="B12" t="s">
        <v>70</v>
      </c>
      <c r="C12" t="s">
        <v>66</v>
      </c>
      <c r="D12" s="22">
        <v>1.7361111111111101E-2</v>
      </c>
      <c r="E12" t="s">
        <v>52</v>
      </c>
      <c r="F12" t="s">
        <v>95</v>
      </c>
      <c r="J12" s="29"/>
      <c r="M12" s="22"/>
    </row>
    <row r="13" spans="1:13" x14ac:dyDescent="0.25">
      <c r="A13" s="29">
        <v>26</v>
      </c>
      <c r="B13" t="s">
        <v>84</v>
      </c>
      <c r="C13" t="s">
        <v>66</v>
      </c>
      <c r="D13" s="22">
        <v>1.8055555555555498E-2</v>
      </c>
      <c r="E13" t="s">
        <v>65</v>
      </c>
      <c r="F13" t="s">
        <v>97</v>
      </c>
      <c r="J13" s="29"/>
      <c r="M13" s="22"/>
    </row>
    <row r="14" spans="1:13" x14ac:dyDescent="0.25">
      <c r="A14" s="29">
        <v>27</v>
      </c>
      <c r="B14" t="s">
        <v>23</v>
      </c>
      <c r="C14" t="s">
        <v>66</v>
      </c>
      <c r="D14" s="22">
        <v>1.8749999999999999E-2</v>
      </c>
      <c r="E14" t="s">
        <v>54</v>
      </c>
      <c r="F14" t="s">
        <v>96</v>
      </c>
      <c r="J14" s="29"/>
      <c r="M14" s="22"/>
    </row>
    <row r="15" spans="1:13" x14ac:dyDescent="0.25">
      <c r="A15" s="29">
        <v>28</v>
      </c>
      <c r="B15" t="s">
        <v>71</v>
      </c>
      <c r="C15" t="s">
        <v>66</v>
      </c>
      <c r="D15" s="22">
        <v>1.94444444444444E-2</v>
      </c>
      <c r="E15" t="s">
        <v>52</v>
      </c>
      <c r="F15" t="s">
        <v>95</v>
      </c>
      <c r="J15" s="29"/>
      <c r="M15" s="22"/>
    </row>
    <row r="16" spans="1:13" x14ac:dyDescent="0.25">
      <c r="A16" s="29">
        <v>30</v>
      </c>
      <c r="B16" t="s">
        <v>30</v>
      </c>
      <c r="C16" t="s">
        <v>66</v>
      </c>
      <c r="D16" s="22">
        <v>2.0833333333333301E-2</v>
      </c>
      <c r="E16" t="s">
        <v>57</v>
      </c>
      <c r="F16" t="s">
        <v>96</v>
      </c>
      <c r="J16" s="29"/>
      <c r="M16" s="22"/>
    </row>
    <row r="17" spans="1:15" x14ac:dyDescent="0.25">
      <c r="A17" s="29">
        <v>31</v>
      </c>
      <c r="B17" t="s">
        <v>22</v>
      </c>
      <c r="C17" t="s">
        <v>66</v>
      </c>
      <c r="D17" s="22">
        <v>2.1527777777777701E-2</v>
      </c>
      <c r="E17" t="s">
        <v>52</v>
      </c>
      <c r="F17" t="s">
        <v>95</v>
      </c>
      <c r="J17" s="29"/>
      <c r="M17" s="22"/>
    </row>
    <row r="18" spans="1:15" x14ac:dyDescent="0.25">
      <c r="A18" s="29">
        <v>32</v>
      </c>
      <c r="B18" t="s">
        <v>80</v>
      </c>
      <c r="C18" t="s">
        <v>66</v>
      </c>
      <c r="D18" s="22">
        <v>2.2222222222222199E-2</v>
      </c>
      <c r="E18" t="s">
        <v>64</v>
      </c>
      <c r="F18" t="s">
        <v>97</v>
      </c>
      <c r="J18" s="29"/>
      <c r="M18" s="22"/>
    </row>
    <row r="19" spans="1:15" x14ac:dyDescent="0.25">
      <c r="A19" s="29">
        <v>33</v>
      </c>
      <c r="B19" t="s">
        <v>75</v>
      </c>
      <c r="C19" t="s">
        <v>66</v>
      </c>
      <c r="D19" s="22">
        <v>2.2916666666666599E-2</v>
      </c>
      <c r="E19" t="s">
        <v>61</v>
      </c>
      <c r="F19" t="s">
        <v>97</v>
      </c>
      <c r="J19" s="29"/>
      <c r="M19" s="22"/>
    </row>
    <row r="20" spans="1:15" x14ac:dyDescent="0.25">
      <c r="A20" s="29">
        <v>35</v>
      </c>
      <c r="B20" t="s">
        <v>42</v>
      </c>
      <c r="C20" t="s">
        <v>66</v>
      </c>
      <c r="D20" s="22">
        <v>2.43055555555555E-2</v>
      </c>
      <c r="E20" t="s">
        <v>64</v>
      </c>
      <c r="F20" t="s">
        <v>97</v>
      </c>
      <c r="J20" s="29"/>
      <c r="M20" s="22"/>
    </row>
    <row r="21" spans="1:15" x14ac:dyDescent="0.25">
      <c r="A21" s="29">
        <v>36</v>
      </c>
      <c r="B21" t="s">
        <v>77</v>
      </c>
      <c r="C21" t="s">
        <v>66</v>
      </c>
      <c r="D21" s="22">
        <v>2.5000000000000001E-2</v>
      </c>
      <c r="E21" t="s">
        <v>62</v>
      </c>
      <c r="F21" t="s">
        <v>97</v>
      </c>
      <c r="J21" s="29"/>
      <c r="M21" s="22"/>
    </row>
    <row r="22" spans="1:15" x14ac:dyDescent="0.25">
      <c r="A22" s="29">
        <v>37</v>
      </c>
      <c r="B22" t="s">
        <v>24</v>
      </c>
      <c r="C22" t="s">
        <v>66</v>
      </c>
      <c r="D22" s="22">
        <v>2.5694444444444402E-2</v>
      </c>
      <c r="E22" t="s">
        <v>53</v>
      </c>
      <c r="F22" t="s">
        <v>95</v>
      </c>
      <c r="J22" s="29"/>
      <c r="M22" s="22"/>
    </row>
    <row r="23" spans="1:15" x14ac:dyDescent="0.25">
      <c r="A23" s="29">
        <v>38</v>
      </c>
      <c r="B23" t="s">
        <v>81</v>
      </c>
      <c r="C23" t="s">
        <v>66</v>
      </c>
      <c r="D23" s="22">
        <v>2.6388888888888799E-2</v>
      </c>
      <c r="E23" t="s">
        <v>64</v>
      </c>
      <c r="F23" t="s">
        <v>97</v>
      </c>
      <c r="J23" s="29"/>
      <c r="M23" s="22"/>
    </row>
    <row r="24" spans="1:15" x14ac:dyDescent="0.25">
      <c r="A24" s="29">
        <v>39</v>
      </c>
      <c r="B24" t="s">
        <v>82</v>
      </c>
      <c r="C24" t="s">
        <v>66</v>
      </c>
      <c r="D24" s="22">
        <v>2.70833333333333E-2</v>
      </c>
      <c r="E24" t="s">
        <v>65</v>
      </c>
      <c r="F24" t="s">
        <v>97</v>
      </c>
      <c r="J24" s="29"/>
      <c r="M24" s="22"/>
    </row>
    <row r="25" spans="1:15" x14ac:dyDescent="0.25">
      <c r="A25" s="29">
        <v>40</v>
      </c>
      <c r="B25" t="s">
        <v>26</v>
      </c>
      <c r="C25" t="s">
        <v>66</v>
      </c>
      <c r="D25" s="22">
        <v>2.77777777777777E-2</v>
      </c>
      <c r="E25" t="s">
        <v>53</v>
      </c>
      <c r="F25" t="s">
        <v>95</v>
      </c>
      <c r="J25" s="29"/>
      <c r="M25" s="22"/>
    </row>
    <row r="26" spans="1:15" x14ac:dyDescent="0.25">
      <c r="A26" s="29">
        <v>41</v>
      </c>
      <c r="B26" t="s">
        <v>33</v>
      </c>
      <c r="C26" t="s">
        <v>66</v>
      </c>
      <c r="D26" s="22">
        <v>2.8472222222222201E-2</v>
      </c>
      <c r="E26" t="s">
        <v>63</v>
      </c>
      <c r="F26" t="s">
        <v>97</v>
      </c>
      <c r="J26" s="29"/>
      <c r="M26" s="22"/>
    </row>
    <row r="27" spans="1:15" x14ac:dyDescent="0.25">
      <c r="A27" s="29">
        <v>42</v>
      </c>
      <c r="B27" t="s">
        <v>31</v>
      </c>
      <c r="C27" t="s">
        <v>66</v>
      </c>
      <c r="D27" s="22">
        <v>2.9166666666666601E-2</v>
      </c>
      <c r="E27" t="s">
        <v>62</v>
      </c>
      <c r="F27" t="s">
        <v>97</v>
      </c>
      <c r="J27" s="29"/>
      <c r="M27" s="22"/>
    </row>
    <row r="28" spans="1:15" x14ac:dyDescent="0.25">
      <c r="A28" s="29">
        <v>43</v>
      </c>
      <c r="B28" t="s">
        <v>72</v>
      </c>
      <c r="C28" t="s">
        <v>66</v>
      </c>
      <c r="D28" s="22">
        <v>2.9861111111111099E-2</v>
      </c>
      <c r="E28" t="s">
        <v>55</v>
      </c>
      <c r="F28" t="s">
        <v>96</v>
      </c>
      <c r="J28" s="29"/>
      <c r="M28" s="22"/>
    </row>
    <row r="29" spans="1:15" x14ac:dyDescent="0.25">
      <c r="A29" s="29">
        <v>45</v>
      </c>
      <c r="B29" t="s">
        <v>28</v>
      </c>
      <c r="C29" t="s">
        <v>66</v>
      </c>
      <c r="D29" s="22">
        <v>3.125E-2</v>
      </c>
      <c r="E29" t="s">
        <v>57</v>
      </c>
      <c r="F29" t="s">
        <v>96</v>
      </c>
      <c r="J29" s="29"/>
      <c r="M29" s="22"/>
    </row>
    <row r="30" spans="1:15" x14ac:dyDescent="0.25">
      <c r="A30" s="29">
        <v>46</v>
      </c>
      <c r="B30" t="s">
        <v>32</v>
      </c>
      <c r="C30" t="s">
        <v>66</v>
      </c>
      <c r="D30" s="22">
        <v>3.19444444444444E-2</v>
      </c>
      <c r="E30" t="s">
        <v>65</v>
      </c>
      <c r="F30" t="s">
        <v>97</v>
      </c>
      <c r="J30" s="29"/>
      <c r="M30" s="22"/>
    </row>
    <row r="31" spans="1:15" x14ac:dyDescent="0.25">
      <c r="A31" s="29">
        <v>47</v>
      </c>
      <c r="B31" s="27" t="s">
        <v>25</v>
      </c>
      <c r="C31" s="27" t="s">
        <v>66</v>
      </c>
      <c r="D31" s="22">
        <v>3.2638888888888801E-2</v>
      </c>
      <c r="E31" s="27" t="s">
        <v>55</v>
      </c>
      <c r="F31" s="27" t="s">
        <v>96</v>
      </c>
      <c r="J31" s="29"/>
      <c r="K31" s="27"/>
      <c r="L31" s="27"/>
      <c r="M31" s="22"/>
      <c r="N31" s="27"/>
      <c r="O31" s="28"/>
    </row>
    <row r="32" spans="1:15" x14ac:dyDescent="0.25">
      <c r="A32" s="29">
        <v>48</v>
      </c>
      <c r="B32" t="s">
        <v>76</v>
      </c>
      <c r="C32" t="s">
        <v>66</v>
      </c>
      <c r="D32" s="22">
        <v>3.3333333333333298E-2</v>
      </c>
      <c r="E32" t="s">
        <v>63</v>
      </c>
      <c r="F32" t="s">
        <v>97</v>
      </c>
      <c r="J32" s="29"/>
      <c r="M32" s="22"/>
    </row>
    <row r="33" spans="1:16" x14ac:dyDescent="0.25">
      <c r="A33" s="29">
        <v>49</v>
      </c>
      <c r="B33" t="s">
        <v>48</v>
      </c>
      <c r="C33" t="s">
        <v>66</v>
      </c>
      <c r="D33" s="22">
        <v>3.4027777777777699E-2</v>
      </c>
      <c r="E33" t="s">
        <v>55</v>
      </c>
      <c r="F33" t="s">
        <v>96</v>
      </c>
      <c r="J33" s="29"/>
      <c r="M33" s="22"/>
    </row>
    <row r="34" spans="1:16" x14ac:dyDescent="0.25">
      <c r="A34" s="29">
        <v>51</v>
      </c>
      <c r="B34" t="s">
        <v>73</v>
      </c>
      <c r="C34" t="s">
        <v>66</v>
      </c>
      <c r="D34" s="22">
        <v>3.5416666666666603E-2</v>
      </c>
      <c r="E34" t="s">
        <v>57</v>
      </c>
      <c r="F34" t="s">
        <v>96</v>
      </c>
      <c r="J34" s="29"/>
      <c r="M34" s="22"/>
    </row>
    <row r="35" spans="1:16" x14ac:dyDescent="0.25">
      <c r="A35" s="29">
        <v>55</v>
      </c>
      <c r="B35" t="s">
        <v>83</v>
      </c>
      <c r="C35" t="s">
        <v>66</v>
      </c>
      <c r="D35" s="22">
        <v>3.8194444444444399E-2</v>
      </c>
      <c r="E35" t="s">
        <v>65</v>
      </c>
      <c r="F35" t="s">
        <v>97</v>
      </c>
      <c r="J35" s="29"/>
      <c r="M35" s="22"/>
    </row>
    <row r="36" spans="1:16" x14ac:dyDescent="0.25">
      <c r="A36" s="31">
        <v>10</v>
      </c>
      <c r="B36" s="44" t="s">
        <v>44</v>
      </c>
      <c r="C36" s="40" t="s">
        <v>67</v>
      </c>
      <c r="D36" s="41">
        <v>6.9444444444444397E-3</v>
      </c>
      <c r="E36" s="40" t="s">
        <v>54</v>
      </c>
      <c r="F36" s="40" t="s">
        <v>96</v>
      </c>
      <c r="G36" s="47"/>
      <c r="J36" s="47"/>
      <c r="M36" s="22"/>
      <c r="P36" s="29"/>
    </row>
    <row r="37" spans="1:16" x14ac:dyDescent="0.25">
      <c r="A37" s="30">
        <v>11</v>
      </c>
      <c r="B37" s="45" t="s">
        <v>101</v>
      </c>
      <c r="C37" s="36" t="s">
        <v>67</v>
      </c>
      <c r="D37" s="42">
        <v>7.63888888888888E-3</v>
      </c>
      <c r="E37" s="36" t="s">
        <v>85</v>
      </c>
      <c r="F37" s="36" t="s">
        <v>95</v>
      </c>
      <c r="G37" s="47"/>
      <c r="J37" s="29"/>
      <c r="M37" s="22"/>
    </row>
    <row r="38" spans="1:16" x14ac:dyDescent="0.25">
      <c r="A38" s="30">
        <v>15</v>
      </c>
      <c r="B38" s="44" t="s">
        <v>51</v>
      </c>
      <c r="C38" s="40" t="s">
        <v>67</v>
      </c>
      <c r="D38" s="41">
        <v>1.0416666666666701E-2</v>
      </c>
      <c r="E38" s="40" t="s">
        <v>57</v>
      </c>
      <c r="F38" s="40" t="s">
        <v>96</v>
      </c>
      <c r="G38" s="47"/>
      <c r="J38" s="29"/>
      <c r="M38" s="22"/>
    </row>
    <row r="39" spans="1:16" x14ac:dyDescent="0.25">
      <c r="A39" s="30">
        <v>19</v>
      </c>
      <c r="B39" s="45" t="s">
        <v>50</v>
      </c>
      <c r="C39" s="36" t="s">
        <v>67</v>
      </c>
      <c r="D39" s="42">
        <v>1.3194444444444399E-2</v>
      </c>
      <c r="E39" s="36" t="s">
        <v>52</v>
      </c>
      <c r="F39" s="36" t="s">
        <v>95</v>
      </c>
      <c r="G39" s="47"/>
      <c r="J39" s="29"/>
      <c r="M39" s="22"/>
    </row>
    <row r="40" spans="1:16" x14ac:dyDescent="0.25">
      <c r="A40" s="30">
        <v>29</v>
      </c>
      <c r="B40" s="44" t="s">
        <v>40</v>
      </c>
      <c r="C40" s="40" t="s">
        <v>67</v>
      </c>
      <c r="D40" s="41">
        <v>2.01388888888888E-2</v>
      </c>
      <c r="E40" s="40" t="s">
        <v>64</v>
      </c>
      <c r="F40" s="40" t="s">
        <v>97</v>
      </c>
      <c r="G40" s="47"/>
      <c r="J40" s="29"/>
      <c r="M40" s="22"/>
    </row>
    <row r="41" spans="1:16" x14ac:dyDescent="0.25">
      <c r="A41" s="31">
        <v>34</v>
      </c>
      <c r="B41" s="45" t="s">
        <v>43</v>
      </c>
      <c r="C41" s="36" t="s">
        <v>67</v>
      </c>
      <c r="D41" s="42">
        <v>2.36111111111111E-2</v>
      </c>
      <c r="E41" s="36" t="s">
        <v>53</v>
      </c>
      <c r="F41" s="36" t="s">
        <v>95</v>
      </c>
      <c r="G41" s="47"/>
      <c r="J41" s="47"/>
      <c r="M41" s="22"/>
      <c r="P41" s="29"/>
    </row>
    <row r="42" spans="1:16" x14ac:dyDescent="0.25">
      <c r="A42" s="31">
        <v>44</v>
      </c>
      <c r="B42" s="44" t="s">
        <v>68</v>
      </c>
      <c r="C42" s="40" t="s">
        <v>67</v>
      </c>
      <c r="D42" s="41">
        <v>3.0555555555555499E-2</v>
      </c>
      <c r="E42" s="40" t="s">
        <v>64</v>
      </c>
      <c r="F42" s="40" t="s">
        <v>97</v>
      </c>
      <c r="G42" s="47"/>
      <c r="J42" s="29"/>
      <c r="K42" s="27"/>
      <c r="L42" s="27"/>
      <c r="M42" s="22"/>
      <c r="N42" s="27"/>
      <c r="O42" s="28"/>
    </row>
    <row r="43" spans="1:16" x14ac:dyDescent="0.25">
      <c r="A43" s="31">
        <v>50</v>
      </c>
      <c r="B43" s="46" t="s">
        <v>46</v>
      </c>
      <c r="C43" s="25" t="s">
        <v>67</v>
      </c>
      <c r="D43" s="43">
        <v>3.4722222222222203E-2</v>
      </c>
      <c r="E43" s="25" t="s">
        <v>59</v>
      </c>
      <c r="F43" s="25" t="s">
        <v>97</v>
      </c>
      <c r="G43" s="47"/>
      <c r="J43" s="29"/>
      <c r="K43" s="27"/>
      <c r="L43" s="27"/>
      <c r="M43" s="22"/>
      <c r="N43" s="27"/>
      <c r="O43" s="28"/>
    </row>
    <row r="44" spans="1:16" x14ac:dyDescent="0.25">
      <c r="A44" s="31">
        <v>2</v>
      </c>
      <c r="B44" s="44" t="s">
        <v>37</v>
      </c>
      <c r="C44" s="40" t="s">
        <v>18</v>
      </c>
      <c r="D44" s="41">
        <v>1.3888888888888889E-3</v>
      </c>
      <c r="E44" s="40" t="s">
        <v>61</v>
      </c>
      <c r="F44" s="40" t="s">
        <v>97</v>
      </c>
      <c r="G44" s="47"/>
      <c r="J44" s="47"/>
      <c r="M44" s="22"/>
      <c r="P44" s="29"/>
    </row>
    <row r="45" spans="1:16" x14ac:dyDescent="0.25">
      <c r="A45" s="31">
        <v>4</v>
      </c>
      <c r="B45" s="44" t="s">
        <v>93</v>
      </c>
      <c r="C45" s="40" t="s">
        <v>18</v>
      </c>
      <c r="D45" s="42">
        <v>2.7777777777777701E-3</v>
      </c>
      <c r="E45" s="40" t="s">
        <v>60</v>
      </c>
      <c r="F45" s="40" t="s">
        <v>97</v>
      </c>
      <c r="G45" s="47"/>
      <c r="J45" s="29"/>
      <c r="M45" s="22"/>
    </row>
    <row r="46" spans="1:16" x14ac:dyDescent="0.25">
      <c r="A46" s="31">
        <v>6</v>
      </c>
      <c r="B46" s="44" t="s">
        <v>47</v>
      </c>
      <c r="C46" s="40" t="s">
        <v>18</v>
      </c>
      <c r="D46" s="41">
        <v>4.1666666666666597E-3</v>
      </c>
      <c r="E46" s="40" t="s">
        <v>57</v>
      </c>
      <c r="F46" s="40" t="s">
        <v>96</v>
      </c>
      <c r="G46" s="47"/>
      <c r="J46" s="29"/>
      <c r="M46" s="22"/>
    </row>
    <row r="47" spans="1:16" x14ac:dyDescent="0.25">
      <c r="A47" s="30">
        <v>7</v>
      </c>
      <c r="B47" s="45" t="s">
        <v>91</v>
      </c>
      <c r="C47" s="36" t="s">
        <v>18</v>
      </c>
      <c r="D47" s="42">
        <v>4.8611111111111103E-3</v>
      </c>
      <c r="E47" s="36" t="s">
        <v>62</v>
      </c>
      <c r="F47" s="36" t="s">
        <v>97</v>
      </c>
      <c r="G47" s="47"/>
      <c r="J47" s="29"/>
      <c r="M47" s="22"/>
    </row>
    <row r="48" spans="1:16" x14ac:dyDescent="0.25">
      <c r="A48" s="31">
        <v>8</v>
      </c>
      <c r="B48" s="44" t="s">
        <v>36</v>
      </c>
      <c r="C48" s="40" t="s">
        <v>18</v>
      </c>
      <c r="D48" s="41">
        <v>5.5555555555555497E-3</v>
      </c>
      <c r="E48" s="40" t="s">
        <v>60</v>
      </c>
      <c r="F48" s="40" t="s">
        <v>97</v>
      </c>
      <c r="G48" s="47"/>
      <c r="J48" s="29"/>
      <c r="M48" s="22"/>
    </row>
    <row r="49" spans="1:13" x14ac:dyDescent="0.25">
      <c r="A49" s="35">
        <v>14</v>
      </c>
      <c r="B49" s="45" t="s">
        <v>100</v>
      </c>
      <c r="C49" s="36" t="s">
        <v>18</v>
      </c>
      <c r="D49" s="42">
        <v>9.7222222222222206E-3</v>
      </c>
      <c r="E49" s="36" t="s">
        <v>56</v>
      </c>
      <c r="F49" s="36" t="s">
        <v>97</v>
      </c>
      <c r="G49" s="47"/>
      <c r="J49" s="29"/>
      <c r="M49" s="22"/>
    </row>
    <row r="50" spans="1:13" x14ac:dyDescent="0.25">
      <c r="A50" s="35">
        <v>20</v>
      </c>
      <c r="B50" s="44" t="s">
        <v>102</v>
      </c>
      <c r="C50" s="40" t="s">
        <v>18</v>
      </c>
      <c r="D50" s="41">
        <v>1.38888888888888E-2</v>
      </c>
      <c r="E50" s="40" t="s">
        <v>59</v>
      </c>
      <c r="F50" s="40" t="s">
        <v>97</v>
      </c>
      <c r="G50" s="47"/>
      <c r="J50" s="29"/>
      <c r="M50" s="22"/>
    </row>
    <row r="51" spans="1:13" x14ac:dyDescent="0.25">
      <c r="A51" s="31">
        <v>52</v>
      </c>
      <c r="B51" s="45" t="s">
        <v>35</v>
      </c>
      <c r="C51" s="36" t="s">
        <v>18</v>
      </c>
      <c r="D51" s="42">
        <v>3.6111111111111101E-2</v>
      </c>
      <c r="E51" s="36" t="s">
        <v>54</v>
      </c>
      <c r="F51" s="36" t="s">
        <v>96</v>
      </c>
      <c r="G51" s="47"/>
    </row>
    <row r="52" spans="1:13" x14ac:dyDescent="0.25">
      <c r="A52" s="30">
        <v>53</v>
      </c>
      <c r="B52" s="44" t="s">
        <v>90</v>
      </c>
      <c r="C52" s="40" t="s">
        <v>18</v>
      </c>
      <c r="D52" s="41">
        <v>3.6805555555555501E-2</v>
      </c>
      <c r="E52" s="40" t="s">
        <v>63</v>
      </c>
      <c r="F52" s="40" t="s">
        <v>97</v>
      </c>
      <c r="G52" s="47"/>
    </row>
    <row r="53" spans="1:13" x14ac:dyDescent="0.25">
      <c r="A53" s="31">
        <v>54</v>
      </c>
      <c r="B53" s="45" t="s">
        <v>38</v>
      </c>
      <c r="C53" s="36" t="s">
        <v>18</v>
      </c>
      <c r="D53" s="42">
        <v>3.7499999999999999E-2</v>
      </c>
      <c r="E53" s="36" t="s">
        <v>60</v>
      </c>
      <c r="F53" s="36" t="s">
        <v>97</v>
      </c>
      <c r="G53" s="47"/>
    </row>
  </sheetData>
  <phoneticPr fontId="11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0CBC-41BB-41F7-BA9B-68770C92A975}">
  <sheetPr>
    <pageSetUpPr fitToPage="1"/>
  </sheetPr>
  <dimension ref="A1:F55"/>
  <sheetViews>
    <sheetView topLeftCell="A28" workbookViewId="0">
      <selection activeCell="A2" sqref="A2:XFD2"/>
    </sheetView>
  </sheetViews>
  <sheetFormatPr defaultRowHeight="13.2" x14ac:dyDescent="0.25"/>
  <cols>
    <col min="1" max="1" width="5.109375" bestFit="1" customWidth="1"/>
    <col min="2" max="2" width="31.44140625" bestFit="1" customWidth="1"/>
    <col min="3" max="3" width="17" bestFit="1" customWidth="1"/>
    <col min="4" max="4" width="7.33203125" bestFit="1" customWidth="1"/>
    <col min="5" max="5" width="22.109375" bestFit="1" customWidth="1"/>
    <col min="6" max="6" width="9.109375" bestFit="1" customWidth="1"/>
  </cols>
  <sheetData>
    <row r="1" spans="1:6" x14ac:dyDescent="0.25">
      <c r="A1" t="s">
        <v>99</v>
      </c>
      <c r="B1" t="s">
        <v>1</v>
      </c>
      <c r="C1" t="s">
        <v>2</v>
      </c>
      <c r="D1" t="s">
        <v>13</v>
      </c>
      <c r="E1" t="s">
        <v>52</v>
      </c>
      <c r="F1" t="s">
        <v>89</v>
      </c>
    </row>
    <row r="2" spans="1:6" x14ac:dyDescent="0.25">
      <c r="A2">
        <v>1</v>
      </c>
      <c r="B2" t="s">
        <v>34</v>
      </c>
      <c r="C2" t="s">
        <v>66</v>
      </c>
      <c r="D2" s="22">
        <v>6.9444444444444447E-4</v>
      </c>
      <c r="E2" t="s">
        <v>63</v>
      </c>
      <c r="F2" t="s">
        <v>97</v>
      </c>
    </row>
    <row r="3" spans="1:6" x14ac:dyDescent="0.25">
      <c r="A3" s="34">
        <v>2</v>
      </c>
      <c r="B3" s="26" t="s">
        <v>37</v>
      </c>
      <c r="C3" s="26" t="s">
        <v>18</v>
      </c>
      <c r="D3" s="22">
        <v>1.3888888888888889E-3</v>
      </c>
      <c r="E3" s="26" t="s">
        <v>61</v>
      </c>
      <c r="F3" s="26" t="s">
        <v>97</v>
      </c>
    </row>
    <row r="4" spans="1:6" x14ac:dyDescent="0.25">
      <c r="A4">
        <v>3</v>
      </c>
      <c r="B4" t="s">
        <v>79</v>
      </c>
      <c r="C4" t="s">
        <v>66</v>
      </c>
      <c r="D4" s="22">
        <v>2.0833333333333298E-3</v>
      </c>
      <c r="E4" t="s">
        <v>62</v>
      </c>
      <c r="F4" t="s">
        <v>97</v>
      </c>
    </row>
    <row r="5" spans="1:6" x14ac:dyDescent="0.25">
      <c r="A5" s="34">
        <v>4</v>
      </c>
      <c r="B5" s="26" t="s">
        <v>93</v>
      </c>
      <c r="C5" s="26" t="s">
        <v>18</v>
      </c>
      <c r="D5" s="22">
        <v>2.7777777777777701E-3</v>
      </c>
      <c r="E5" s="26" t="s">
        <v>60</v>
      </c>
      <c r="F5" s="26" t="s">
        <v>97</v>
      </c>
    </row>
    <row r="6" spans="1:6" x14ac:dyDescent="0.25">
      <c r="A6">
        <v>5</v>
      </c>
      <c r="B6" t="s">
        <v>78</v>
      </c>
      <c r="C6" t="s">
        <v>66</v>
      </c>
      <c r="D6" s="22">
        <v>3.4722222222222199E-3</v>
      </c>
      <c r="E6" t="s">
        <v>62</v>
      </c>
      <c r="F6" t="s">
        <v>97</v>
      </c>
    </row>
    <row r="7" spans="1:6" x14ac:dyDescent="0.25">
      <c r="A7" s="34">
        <v>6</v>
      </c>
      <c r="B7" s="26" t="s">
        <v>47</v>
      </c>
      <c r="C7" s="26" t="s">
        <v>18</v>
      </c>
      <c r="D7" s="22">
        <v>4.1666666666666597E-3</v>
      </c>
      <c r="E7" s="26" t="s">
        <v>57</v>
      </c>
      <c r="F7" s="26" t="s">
        <v>96</v>
      </c>
    </row>
    <row r="8" spans="1:6" x14ac:dyDescent="0.25">
      <c r="A8" s="26">
        <v>7</v>
      </c>
      <c r="B8" t="s">
        <v>91</v>
      </c>
      <c r="C8" t="s">
        <v>18</v>
      </c>
      <c r="D8" s="22">
        <v>4.8611111111111103E-3</v>
      </c>
      <c r="E8" t="s">
        <v>62</v>
      </c>
      <c r="F8" t="s">
        <v>97</v>
      </c>
    </row>
    <row r="9" spans="1:6" x14ac:dyDescent="0.25">
      <c r="A9" s="34">
        <v>8</v>
      </c>
      <c r="B9" s="34" t="s">
        <v>36</v>
      </c>
      <c r="C9" s="34" t="s">
        <v>18</v>
      </c>
      <c r="D9" s="22">
        <v>5.5555555555555497E-3</v>
      </c>
      <c r="E9" s="34" t="s">
        <v>60</v>
      </c>
      <c r="F9" s="34" t="s">
        <v>97</v>
      </c>
    </row>
    <row r="10" spans="1:6" x14ac:dyDescent="0.25">
      <c r="A10">
        <v>9</v>
      </c>
      <c r="B10" t="s">
        <v>86</v>
      </c>
      <c r="C10" t="s">
        <v>66</v>
      </c>
      <c r="D10" s="22">
        <v>6.2500000000000003E-3</v>
      </c>
      <c r="E10" t="s">
        <v>85</v>
      </c>
      <c r="F10" t="s">
        <v>95</v>
      </c>
    </row>
    <row r="11" spans="1:6" x14ac:dyDescent="0.25">
      <c r="A11" s="34">
        <v>10</v>
      </c>
      <c r="B11" t="s">
        <v>44</v>
      </c>
      <c r="C11" t="s">
        <v>67</v>
      </c>
      <c r="D11" s="22">
        <v>6.9444444444444397E-3</v>
      </c>
      <c r="E11" t="s">
        <v>54</v>
      </c>
      <c r="F11" t="s">
        <v>96</v>
      </c>
    </row>
    <row r="12" spans="1:6" x14ac:dyDescent="0.25">
      <c r="A12" s="26">
        <v>11</v>
      </c>
      <c r="B12" t="s">
        <v>101</v>
      </c>
      <c r="C12" t="s">
        <v>67</v>
      </c>
      <c r="D12" s="22">
        <v>7.63888888888888E-3</v>
      </c>
      <c r="E12" t="s">
        <v>85</v>
      </c>
      <c r="F12" t="s">
        <v>95</v>
      </c>
    </row>
    <row r="13" spans="1:6" x14ac:dyDescent="0.25">
      <c r="A13">
        <v>12</v>
      </c>
      <c r="B13" t="s">
        <v>87</v>
      </c>
      <c r="C13" t="s">
        <v>66</v>
      </c>
      <c r="D13" s="22">
        <v>8.3333333333333297E-3</v>
      </c>
      <c r="E13" t="s">
        <v>85</v>
      </c>
      <c r="F13" t="s">
        <v>95</v>
      </c>
    </row>
    <row r="14" spans="1:6" x14ac:dyDescent="0.25">
      <c r="A14" s="37">
        <v>14</v>
      </c>
      <c r="B14" t="s">
        <v>100</v>
      </c>
      <c r="C14" t="s">
        <v>18</v>
      </c>
      <c r="D14" s="22">
        <v>9.7222222222222206E-3</v>
      </c>
      <c r="E14" t="s">
        <v>56</v>
      </c>
      <c r="F14" t="s">
        <v>97</v>
      </c>
    </row>
    <row r="15" spans="1:6" x14ac:dyDescent="0.25">
      <c r="A15" s="26">
        <v>15</v>
      </c>
      <c r="B15" t="s">
        <v>51</v>
      </c>
      <c r="C15" t="s">
        <v>67</v>
      </c>
      <c r="D15" s="22">
        <v>1.0416666666666701E-2</v>
      </c>
      <c r="E15" t="s">
        <v>57</v>
      </c>
      <c r="F15" t="s">
        <v>96</v>
      </c>
    </row>
    <row r="16" spans="1:6" x14ac:dyDescent="0.25">
      <c r="A16">
        <v>16</v>
      </c>
      <c r="B16" t="s">
        <v>88</v>
      </c>
      <c r="C16" t="s">
        <v>66</v>
      </c>
      <c r="D16" s="22">
        <v>1.1111111111111099E-2</v>
      </c>
      <c r="E16" t="s">
        <v>85</v>
      </c>
      <c r="F16" t="s">
        <v>95</v>
      </c>
    </row>
    <row r="17" spans="1:6" x14ac:dyDescent="0.25">
      <c r="A17">
        <v>17</v>
      </c>
      <c r="B17" t="s">
        <v>74</v>
      </c>
      <c r="C17" t="s">
        <v>66</v>
      </c>
      <c r="D17" s="22">
        <v>1.18055555555555E-2</v>
      </c>
      <c r="E17" t="s">
        <v>60</v>
      </c>
      <c r="F17" t="s">
        <v>97</v>
      </c>
    </row>
    <row r="18" spans="1:6" x14ac:dyDescent="0.25">
      <c r="A18">
        <v>18</v>
      </c>
      <c r="B18" t="s">
        <v>27</v>
      </c>
      <c r="C18" t="s">
        <v>66</v>
      </c>
      <c r="D18" s="22">
        <v>1.2500000000000001E-2</v>
      </c>
      <c r="E18" t="s">
        <v>54</v>
      </c>
      <c r="F18" t="s">
        <v>96</v>
      </c>
    </row>
    <row r="19" spans="1:6" x14ac:dyDescent="0.25">
      <c r="A19" s="26">
        <v>19</v>
      </c>
      <c r="B19" t="s">
        <v>50</v>
      </c>
      <c r="C19" t="s">
        <v>67</v>
      </c>
      <c r="D19" s="22">
        <v>1.3194444444444399E-2</v>
      </c>
      <c r="E19" t="s">
        <v>52</v>
      </c>
      <c r="F19" t="s">
        <v>95</v>
      </c>
    </row>
    <row r="20" spans="1:6" x14ac:dyDescent="0.25">
      <c r="A20" s="37">
        <v>20</v>
      </c>
      <c r="B20" t="s">
        <v>102</v>
      </c>
      <c r="C20" t="s">
        <v>18</v>
      </c>
      <c r="D20" s="22">
        <v>1.38888888888888E-2</v>
      </c>
      <c r="E20" s="34" t="s">
        <v>59</v>
      </c>
      <c r="F20" t="s">
        <v>97</v>
      </c>
    </row>
    <row r="21" spans="1:6" x14ac:dyDescent="0.25">
      <c r="A21">
        <v>21</v>
      </c>
      <c r="B21" t="s">
        <v>21</v>
      </c>
      <c r="C21" t="s">
        <v>66</v>
      </c>
      <c r="D21" s="22">
        <v>1.4583333333333301E-2</v>
      </c>
      <c r="E21" t="s">
        <v>54</v>
      </c>
      <c r="F21" t="s">
        <v>96</v>
      </c>
    </row>
    <row r="22" spans="1:6" x14ac:dyDescent="0.25">
      <c r="A22">
        <v>22</v>
      </c>
      <c r="B22" t="s">
        <v>69</v>
      </c>
      <c r="C22" t="s">
        <v>66</v>
      </c>
      <c r="D22" s="22">
        <v>1.5277777777777699E-2</v>
      </c>
      <c r="E22" t="s">
        <v>52</v>
      </c>
      <c r="F22" t="s">
        <v>95</v>
      </c>
    </row>
    <row r="23" spans="1:6" x14ac:dyDescent="0.25">
      <c r="A23">
        <v>23</v>
      </c>
      <c r="B23" t="s">
        <v>41</v>
      </c>
      <c r="C23" t="s">
        <v>66</v>
      </c>
      <c r="D23" s="22">
        <v>1.59722222222222E-2</v>
      </c>
      <c r="E23" t="s">
        <v>64</v>
      </c>
      <c r="F23" t="s">
        <v>97</v>
      </c>
    </row>
    <row r="24" spans="1:6" x14ac:dyDescent="0.25">
      <c r="A24">
        <v>24</v>
      </c>
      <c r="B24" t="s">
        <v>29</v>
      </c>
      <c r="C24" t="s">
        <v>66</v>
      </c>
      <c r="D24" s="22">
        <v>1.6666666666666601E-2</v>
      </c>
      <c r="E24" t="s">
        <v>58</v>
      </c>
      <c r="F24" t="s">
        <v>97</v>
      </c>
    </row>
    <row r="25" spans="1:6" x14ac:dyDescent="0.25">
      <c r="A25">
        <v>25</v>
      </c>
      <c r="B25" t="s">
        <v>70</v>
      </c>
      <c r="C25" t="s">
        <v>66</v>
      </c>
      <c r="D25" s="22">
        <v>1.7361111111111101E-2</v>
      </c>
      <c r="E25" t="s">
        <v>52</v>
      </c>
      <c r="F25" t="s">
        <v>95</v>
      </c>
    </row>
    <row r="26" spans="1:6" x14ac:dyDescent="0.25">
      <c r="A26">
        <v>26</v>
      </c>
      <c r="B26" t="s">
        <v>84</v>
      </c>
      <c r="C26" t="s">
        <v>66</v>
      </c>
      <c r="D26" s="22">
        <v>1.8055555555555498E-2</v>
      </c>
      <c r="E26" t="s">
        <v>65</v>
      </c>
      <c r="F26" t="s">
        <v>97</v>
      </c>
    </row>
    <row r="27" spans="1:6" x14ac:dyDescent="0.25">
      <c r="A27">
        <v>27</v>
      </c>
      <c r="B27" t="s">
        <v>23</v>
      </c>
      <c r="C27" t="s">
        <v>66</v>
      </c>
      <c r="D27" s="22">
        <v>1.8749999999999999E-2</v>
      </c>
      <c r="E27" t="s">
        <v>54</v>
      </c>
      <c r="F27" t="s">
        <v>96</v>
      </c>
    </row>
    <row r="28" spans="1:6" x14ac:dyDescent="0.25">
      <c r="A28">
        <v>28</v>
      </c>
      <c r="B28" t="s">
        <v>71</v>
      </c>
      <c r="C28" t="s">
        <v>66</v>
      </c>
      <c r="D28" s="22">
        <v>1.94444444444444E-2</v>
      </c>
      <c r="E28" t="s">
        <v>52</v>
      </c>
      <c r="F28" t="s">
        <v>95</v>
      </c>
    </row>
    <row r="29" spans="1:6" x14ac:dyDescent="0.25">
      <c r="A29" s="26">
        <v>29</v>
      </c>
      <c r="B29" s="26" t="s">
        <v>40</v>
      </c>
      <c r="C29" s="26" t="s">
        <v>67</v>
      </c>
      <c r="D29" s="22">
        <v>2.01388888888888E-2</v>
      </c>
      <c r="E29" s="26" t="s">
        <v>64</v>
      </c>
      <c r="F29" s="26" t="s">
        <v>97</v>
      </c>
    </row>
    <row r="30" spans="1:6" x14ac:dyDescent="0.25">
      <c r="A30">
        <v>30</v>
      </c>
      <c r="B30" t="s">
        <v>30</v>
      </c>
      <c r="C30" t="s">
        <v>66</v>
      </c>
      <c r="D30" s="22">
        <v>2.0833333333333301E-2</v>
      </c>
      <c r="E30" t="s">
        <v>57</v>
      </c>
      <c r="F30" t="s">
        <v>96</v>
      </c>
    </row>
    <row r="31" spans="1:6" x14ac:dyDescent="0.25">
      <c r="A31">
        <v>31</v>
      </c>
      <c r="B31" t="s">
        <v>22</v>
      </c>
      <c r="C31" t="s">
        <v>66</v>
      </c>
      <c r="D31" s="22">
        <v>2.1527777777777701E-2</v>
      </c>
      <c r="E31" t="s">
        <v>52</v>
      </c>
      <c r="F31" t="s">
        <v>95</v>
      </c>
    </row>
    <row r="32" spans="1:6" x14ac:dyDescent="0.25">
      <c r="A32">
        <v>32</v>
      </c>
      <c r="B32" s="27" t="s">
        <v>80</v>
      </c>
      <c r="C32" s="27" t="s">
        <v>66</v>
      </c>
      <c r="D32" s="22">
        <v>2.2222222222222199E-2</v>
      </c>
      <c r="E32" s="27" t="s">
        <v>64</v>
      </c>
      <c r="F32" s="28" t="s">
        <v>97</v>
      </c>
    </row>
    <row r="33" spans="1:6" x14ac:dyDescent="0.25">
      <c r="A33">
        <v>33</v>
      </c>
      <c r="B33" t="s">
        <v>75</v>
      </c>
      <c r="C33" t="s">
        <v>66</v>
      </c>
      <c r="D33" s="22">
        <v>2.2916666666666599E-2</v>
      </c>
      <c r="E33" t="s">
        <v>61</v>
      </c>
      <c r="F33" t="s">
        <v>97</v>
      </c>
    </row>
    <row r="34" spans="1:6" x14ac:dyDescent="0.25">
      <c r="A34" s="34">
        <v>34</v>
      </c>
      <c r="B34" t="s">
        <v>43</v>
      </c>
      <c r="C34" t="s">
        <v>67</v>
      </c>
      <c r="D34" s="22">
        <v>2.36111111111111E-2</v>
      </c>
      <c r="E34" t="s">
        <v>53</v>
      </c>
      <c r="F34" t="s">
        <v>95</v>
      </c>
    </row>
    <row r="35" spans="1:6" x14ac:dyDescent="0.25">
      <c r="A35">
        <v>35</v>
      </c>
      <c r="B35" t="s">
        <v>42</v>
      </c>
      <c r="C35" t="s">
        <v>66</v>
      </c>
      <c r="D35" s="22">
        <v>2.43055555555555E-2</v>
      </c>
      <c r="E35" t="s">
        <v>64</v>
      </c>
      <c r="F35" t="s">
        <v>97</v>
      </c>
    </row>
    <row r="36" spans="1:6" x14ac:dyDescent="0.25">
      <c r="A36">
        <v>36</v>
      </c>
      <c r="B36" t="s">
        <v>77</v>
      </c>
      <c r="C36" t="s">
        <v>66</v>
      </c>
      <c r="D36" s="22">
        <v>2.5000000000000001E-2</v>
      </c>
      <c r="E36" t="s">
        <v>62</v>
      </c>
      <c r="F36" t="s">
        <v>97</v>
      </c>
    </row>
    <row r="37" spans="1:6" x14ac:dyDescent="0.25">
      <c r="A37" s="28">
        <v>37</v>
      </c>
      <c r="B37" t="s">
        <v>24</v>
      </c>
      <c r="C37" t="s">
        <v>66</v>
      </c>
      <c r="D37" s="22">
        <v>2.5694444444444402E-2</v>
      </c>
      <c r="E37" t="s">
        <v>53</v>
      </c>
      <c r="F37" t="s">
        <v>95</v>
      </c>
    </row>
    <row r="38" spans="1:6" x14ac:dyDescent="0.25">
      <c r="A38" s="28">
        <v>38</v>
      </c>
      <c r="B38" t="s">
        <v>81</v>
      </c>
      <c r="C38" t="s">
        <v>66</v>
      </c>
      <c r="D38" s="22">
        <v>2.6388888888888799E-2</v>
      </c>
      <c r="E38" t="s">
        <v>64</v>
      </c>
      <c r="F38" t="s">
        <v>97</v>
      </c>
    </row>
    <row r="39" spans="1:6" x14ac:dyDescent="0.25">
      <c r="A39" s="28">
        <v>39</v>
      </c>
      <c r="B39" t="s">
        <v>82</v>
      </c>
      <c r="C39" t="s">
        <v>66</v>
      </c>
      <c r="D39" s="22">
        <v>2.70833333333333E-2</v>
      </c>
      <c r="E39" t="s">
        <v>65</v>
      </c>
      <c r="F39" t="s">
        <v>97</v>
      </c>
    </row>
    <row r="40" spans="1:6" x14ac:dyDescent="0.25">
      <c r="A40" s="28">
        <v>40</v>
      </c>
      <c r="B40" t="s">
        <v>26</v>
      </c>
      <c r="C40" t="s">
        <v>66</v>
      </c>
      <c r="D40" s="22">
        <v>2.77777777777777E-2</v>
      </c>
      <c r="E40" t="s">
        <v>53</v>
      </c>
      <c r="F40" t="s">
        <v>95</v>
      </c>
    </row>
    <row r="41" spans="1:6" x14ac:dyDescent="0.25">
      <c r="A41" s="28">
        <v>41</v>
      </c>
      <c r="B41" t="s">
        <v>33</v>
      </c>
      <c r="C41" t="s">
        <v>66</v>
      </c>
      <c r="D41" s="22">
        <v>2.8472222222222201E-2</v>
      </c>
      <c r="E41" t="s">
        <v>63</v>
      </c>
      <c r="F41" t="s">
        <v>97</v>
      </c>
    </row>
    <row r="42" spans="1:6" x14ac:dyDescent="0.25">
      <c r="A42" s="28">
        <v>42</v>
      </c>
      <c r="B42" t="s">
        <v>31</v>
      </c>
      <c r="C42" t="s">
        <v>66</v>
      </c>
      <c r="D42" s="22">
        <v>2.9166666666666601E-2</v>
      </c>
      <c r="E42" t="s">
        <v>62</v>
      </c>
      <c r="F42" t="s">
        <v>97</v>
      </c>
    </row>
    <row r="43" spans="1:6" x14ac:dyDescent="0.25">
      <c r="A43" s="28">
        <v>43</v>
      </c>
      <c r="B43" t="s">
        <v>72</v>
      </c>
      <c r="C43" t="s">
        <v>66</v>
      </c>
      <c r="D43" s="22">
        <v>2.9861111111111099E-2</v>
      </c>
      <c r="E43" t="s">
        <v>55</v>
      </c>
      <c r="F43" t="s">
        <v>96</v>
      </c>
    </row>
    <row r="44" spans="1:6" x14ac:dyDescent="0.25">
      <c r="A44" s="32">
        <v>44</v>
      </c>
      <c r="B44" t="s">
        <v>68</v>
      </c>
      <c r="C44" t="s">
        <v>67</v>
      </c>
      <c r="D44" s="22">
        <v>3.0555555555555499E-2</v>
      </c>
      <c r="E44" t="s">
        <v>64</v>
      </c>
      <c r="F44" t="s">
        <v>97</v>
      </c>
    </row>
    <row r="45" spans="1:6" x14ac:dyDescent="0.25">
      <c r="A45" s="28">
        <v>45</v>
      </c>
      <c r="B45" s="27" t="s">
        <v>28</v>
      </c>
      <c r="C45" s="27" t="s">
        <v>66</v>
      </c>
      <c r="D45" s="22">
        <v>3.125E-2</v>
      </c>
      <c r="E45" s="27" t="s">
        <v>57</v>
      </c>
      <c r="F45" s="28" t="s">
        <v>96</v>
      </c>
    </row>
    <row r="46" spans="1:6" x14ac:dyDescent="0.25">
      <c r="A46" s="28">
        <v>46</v>
      </c>
      <c r="B46" s="27" t="s">
        <v>32</v>
      </c>
      <c r="C46" s="27" t="s">
        <v>66</v>
      </c>
      <c r="D46" s="22">
        <v>3.19444444444444E-2</v>
      </c>
      <c r="E46" s="27" t="s">
        <v>65</v>
      </c>
      <c r="F46" s="28" t="s">
        <v>97</v>
      </c>
    </row>
    <row r="47" spans="1:6" x14ac:dyDescent="0.25">
      <c r="A47" s="28">
        <v>47</v>
      </c>
      <c r="B47" s="27" t="s">
        <v>25</v>
      </c>
      <c r="C47" s="27" t="s">
        <v>66</v>
      </c>
      <c r="D47" s="22">
        <v>3.2638888888888801E-2</v>
      </c>
      <c r="E47" s="27" t="s">
        <v>55</v>
      </c>
      <c r="F47" s="28" t="s">
        <v>96</v>
      </c>
    </row>
    <row r="48" spans="1:6" x14ac:dyDescent="0.25">
      <c r="A48" s="28">
        <v>48</v>
      </c>
      <c r="B48" s="27" t="s">
        <v>76</v>
      </c>
      <c r="C48" s="27" t="s">
        <v>66</v>
      </c>
      <c r="D48" s="22">
        <v>3.3333333333333298E-2</v>
      </c>
      <c r="E48" s="27" t="s">
        <v>63</v>
      </c>
      <c r="F48" s="28" t="s">
        <v>97</v>
      </c>
    </row>
    <row r="49" spans="1:6" x14ac:dyDescent="0.25">
      <c r="A49" s="28">
        <v>49</v>
      </c>
      <c r="B49" t="s">
        <v>48</v>
      </c>
      <c r="C49" t="s">
        <v>66</v>
      </c>
      <c r="D49" s="22">
        <v>3.4027777777777699E-2</v>
      </c>
      <c r="E49" t="s">
        <v>55</v>
      </c>
      <c r="F49" t="s">
        <v>96</v>
      </c>
    </row>
    <row r="50" spans="1:6" x14ac:dyDescent="0.25">
      <c r="A50" s="32">
        <v>50</v>
      </c>
      <c r="B50" s="25" t="s">
        <v>46</v>
      </c>
      <c r="C50" s="25" t="s">
        <v>67</v>
      </c>
      <c r="D50" s="22">
        <v>3.4722222222222203E-2</v>
      </c>
      <c r="E50" s="25" t="s">
        <v>59</v>
      </c>
      <c r="F50" s="32" t="s">
        <v>97</v>
      </c>
    </row>
    <row r="51" spans="1:6" x14ac:dyDescent="0.25">
      <c r="A51" s="28">
        <v>51</v>
      </c>
      <c r="B51" t="s">
        <v>73</v>
      </c>
      <c r="C51" t="s">
        <v>66</v>
      </c>
      <c r="D51" s="22">
        <v>3.5416666666666603E-2</v>
      </c>
      <c r="E51" t="s">
        <v>57</v>
      </c>
      <c r="F51" t="s">
        <v>96</v>
      </c>
    </row>
    <row r="52" spans="1:6" x14ac:dyDescent="0.25">
      <c r="A52" s="32">
        <v>52</v>
      </c>
      <c r="B52" s="34" t="s">
        <v>35</v>
      </c>
      <c r="C52" s="34" t="s">
        <v>18</v>
      </c>
      <c r="D52" s="22">
        <v>3.6111111111111101E-2</v>
      </c>
      <c r="E52" s="25" t="s">
        <v>54</v>
      </c>
      <c r="F52" s="34" t="s">
        <v>96</v>
      </c>
    </row>
    <row r="53" spans="1:6" x14ac:dyDescent="0.25">
      <c r="A53" s="33">
        <v>53</v>
      </c>
      <c r="B53" s="24" t="s">
        <v>90</v>
      </c>
      <c r="C53" s="24" t="s">
        <v>18</v>
      </c>
      <c r="D53" s="22">
        <v>3.6805555555555501E-2</v>
      </c>
      <c r="E53" s="24" t="s">
        <v>63</v>
      </c>
      <c r="F53" s="33" t="s">
        <v>97</v>
      </c>
    </row>
    <row r="54" spans="1:6" x14ac:dyDescent="0.25">
      <c r="A54" s="32">
        <v>54</v>
      </c>
      <c r="B54" s="25" t="s">
        <v>38</v>
      </c>
      <c r="C54" s="25" t="s">
        <v>18</v>
      </c>
      <c r="D54" s="22">
        <v>3.7499999999999999E-2</v>
      </c>
      <c r="E54" s="25" t="s">
        <v>60</v>
      </c>
      <c r="F54" s="32" t="s">
        <v>97</v>
      </c>
    </row>
    <row r="55" spans="1:6" x14ac:dyDescent="0.25">
      <c r="A55" s="28">
        <v>55</v>
      </c>
      <c r="B55" s="38" t="s">
        <v>83</v>
      </c>
      <c r="C55" s="38" t="s">
        <v>66</v>
      </c>
      <c r="D55" s="22">
        <v>3.8194444444444399E-2</v>
      </c>
      <c r="E55" s="38" t="s">
        <v>65</v>
      </c>
      <c r="F55" s="39" t="s">
        <v>97</v>
      </c>
    </row>
  </sheetData>
  <pageMargins left="0.7" right="0.7" top="0.78740157499999996" bottom="0.78740157499999996" header="0.3" footer="0.3"/>
  <pageSetup paperSize="9" scale="97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a e 1 2 5 6 4 - 2 6 7 8 - 4 c f 5 - b c 8 5 - 9 2 a e 1 6 6 8 b 1 2 a "   x m l n s = " h t t p : / / s c h e m a s . m i c r o s o f t . c o m / D a t a M a s h u p " > A A A A A B Q D A A B Q S w M E F A A C A A g A 9 i O M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9 i O M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Y j j F g o i k e 4 D g A A A B E A A A A T A B w A R m 9 y b X V s Y X M v U 2 V j d G l v b j E u b S C i G A A o o B Q A A A A A A A A A A A A A A A A A A A A A A A A A A A A r T k 0 u y c z P U w i G 0 I b W A F B L A Q I t A B Q A A g A I A P Y j j F g O 3 B O / p A A A A P Y A A A A S A A A A A A A A A A A A A A A A A A A A A A B D b 2 5 m a W c v U G F j a 2 F n Z S 5 4 b W x Q S w E C L Q A U A A I A C A D 2 I 4 x Y D 8 r p q 6 Q A A A D p A A A A E w A A A A A A A A A A A A A A A A D w A A A A W 0 N v b n R l b n R f V H l w Z X N d L n h t b F B L A Q I t A B Q A A g A I A P Y j j F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E S I G b s T a E S a q m a D 0 + o 1 m S A A A A A A I A A A A A A B B m A A A A A Q A A I A A A A B 4 b W 3 r a m z V f N Z 7 9 o W A 8 D Z H E R S x J g O u v H w W U 4 u V w f Q 2 D A A A A A A 6 A A A A A A g A A I A A A A D k o W o a 2 / J g W w a 6 5 E j V w k Z W f A i / p R N U Y U + t X n Y f J k y I X U A A A A G R p Y n f k v 9 G Z K e h Z 4 + 7 1 y D x h e 4 h Y 0 6 a s 1 W G S I X N v 4 Z u X y H R n s 5 5 b f Z A U B C 1 E Q i v + t K U 4 D h 8 / 6 X M z w g m g d Q S 1 R 8 i B g M P G x y 3 c 7 U 5 O I K L 1 f O U S Q A A A A P i h e o 8 v l C g 5 t N O b R + N a s 9 t S + n 9 Y c z n O F h S 1 D x s t K P J j I x q P H r U G h V z l v o Y R c y u T c j 6 J 4 W l p 9 v 2 f 9 V R j d 0 4 W m B s = < / D a t a M a s h u p > 
</file>

<file path=customXml/itemProps1.xml><?xml version="1.0" encoding="utf-8"?>
<ds:datastoreItem xmlns:ds="http://schemas.openxmlformats.org/officeDocument/2006/customXml" ds:itemID="{9BE5815D-AA9B-4650-A640-440A4FD22BE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All</vt:lpstr>
      <vt:lpstr>ČB24</vt:lpstr>
      <vt:lpstr>Allv2</vt:lpstr>
      <vt:lpstr>Startovka</vt:lpstr>
      <vt:lpstr>All</vt:lpstr>
      <vt:lpstr>All!Oblast_tisku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Vaněk</dc:creator>
  <cp:lastModifiedBy>Tvrzník Matěj (S-PEF)</cp:lastModifiedBy>
  <cp:lastPrinted>2024-04-13T11:18:16Z</cp:lastPrinted>
  <dcterms:created xsi:type="dcterms:W3CDTF">2019-11-02T18:01:33Z</dcterms:created>
  <dcterms:modified xsi:type="dcterms:W3CDTF">2024-04-13T11:20:23Z</dcterms:modified>
</cp:coreProperties>
</file>